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rk/Desktop/"/>
    </mc:Choice>
  </mc:AlternateContent>
  <xr:revisionPtr revIDLastSave="0" documentId="8_{71897F53-2CAC-BA40-BE2A-11BCC0399FA2}" xr6:coauthVersionLast="45" xr6:coauthVersionMax="45" xr10:uidLastSave="{00000000-0000-0000-0000-000000000000}"/>
  <bookViews>
    <workbookView xWindow="0" yWindow="0" windowWidth="40960" windowHeight="23040" xr2:uid="{14924611-D713-4AF8-AFC7-8B4F86417AC2}"/>
  </bookViews>
  <sheets>
    <sheet name="Rahoituslaskelma" sheetId="5" r:id="rId1"/>
    <sheet name="Kannattavuuslaskelma" sheetId="4" r:id="rId2"/>
    <sheet name="Kk-myyntilaskelma" sheetId="3" r:id="rId3"/>
    <sheet name="Kassavirtalaskelma1v" sheetId="6" r:id="rId4"/>
    <sheet name="Kassavirtalaskelma2v" sheetId="10" r:id="rId5"/>
    <sheet name="Kassavirtalaskelma3v" sheetId="11" r:id="rId6"/>
  </sheets>
  <definedNames>
    <definedName name="FiscalYearStartDate" localSheetId="4">Kassavirtalaskelma2v!$A$4</definedName>
    <definedName name="FiscalYearStartDate" localSheetId="5">Kassavirtalaskelma3v!$A$4</definedName>
    <definedName name="FiscalYearStartDate">Kassavirtalaskelma1v!$A$4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1" l="1"/>
  <c r="M40" i="11"/>
  <c r="L40" i="11"/>
  <c r="K40" i="11"/>
  <c r="J40" i="11"/>
  <c r="I40" i="11"/>
  <c r="H40" i="11"/>
  <c r="G40" i="11"/>
  <c r="F40" i="11"/>
  <c r="E40" i="11"/>
  <c r="D40" i="11"/>
  <c r="C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40" i="11" s="1"/>
  <c r="N12" i="11"/>
  <c r="M12" i="11"/>
  <c r="L12" i="11"/>
  <c r="K12" i="11"/>
  <c r="J12" i="11"/>
  <c r="I12" i="11"/>
  <c r="H12" i="11"/>
  <c r="G12" i="11"/>
  <c r="F12" i="11"/>
  <c r="E12" i="11"/>
  <c r="D12" i="11"/>
  <c r="C12" i="11"/>
  <c r="Q11" i="11"/>
  <c r="Q10" i="11"/>
  <c r="Q9" i="11"/>
  <c r="Q12" i="11" s="1"/>
  <c r="C4" i="1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N3" i="11"/>
  <c r="M3" i="11"/>
  <c r="L3" i="11"/>
  <c r="K3" i="11"/>
  <c r="J3" i="11"/>
  <c r="I3" i="11"/>
  <c r="H3" i="11"/>
  <c r="G3" i="11"/>
  <c r="F3" i="11"/>
  <c r="E3" i="11"/>
  <c r="D3" i="11"/>
  <c r="C3" i="11"/>
  <c r="N40" i="10"/>
  <c r="M40" i="10"/>
  <c r="L40" i="10"/>
  <c r="K40" i="10"/>
  <c r="J40" i="10"/>
  <c r="I40" i="10"/>
  <c r="H40" i="10"/>
  <c r="G40" i="10"/>
  <c r="F40" i="10"/>
  <c r="E40" i="10"/>
  <c r="D40" i="10"/>
  <c r="C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Q11" i="10"/>
  <c r="Q10" i="10"/>
  <c r="Q9" i="10"/>
  <c r="N3" i="10"/>
  <c r="M3" i="10"/>
  <c r="L3" i="10"/>
  <c r="K3" i="10"/>
  <c r="J3" i="10"/>
  <c r="I3" i="10"/>
  <c r="H3" i="10"/>
  <c r="G3" i="10"/>
  <c r="F3" i="10"/>
  <c r="E3" i="10"/>
  <c r="D3" i="10"/>
  <c r="C3" i="10"/>
  <c r="Q24" i="6"/>
  <c r="Q28" i="6"/>
  <c r="Q29" i="6"/>
  <c r="Q26" i="6"/>
  <c r="Q27" i="6"/>
  <c r="Q23" i="6"/>
  <c r="Q25" i="6"/>
  <c r="Q22" i="6"/>
  <c r="Q20" i="6"/>
  <c r="Q21" i="6"/>
  <c r="Q16" i="6"/>
  <c r="Q17" i="6"/>
  <c r="Q18" i="6"/>
  <c r="Q19" i="6"/>
  <c r="Q30" i="6"/>
  <c r="Q38" i="6"/>
  <c r="Q33" i="6"/>
  <c r="Q12" i="10" l="1"/>
  <c r="Q40" i="10"/>
  <c r="C12" i="6"/>
  <c r="C13" i="6"/>
  <c r="C40" i="6"/>
  <c r="D40" i="6"/>
  <c r="D12" i="6"/>
  <c r="E12" i="6"/>
  <c r="F12" i="6"/>
  <c r="G12" i="6"/>
  <c r="H12" i="6"/>
  <c r="I12" i="6"/>
  <c r="J12" i="6"/>
  <c r="K12" i="6"/>
  <c r="L12" i="6"/>
  <c r="M12" i="6"/>
  <c r="N12" i="6"/>
  <c r="O12" i="6"/>
  <c r="Q31" i="6"/>
  <c r="Q32" i="6"/>
  <c r="Q34" i="6"/>
  <c r="Q35" i="6"/>
  <c r="Q36" i="6"/>
  <c r="Q37" i="6"/>
  <c r="Q39" i="6"/>
  <c r="E40" i="6"/>
  <c r="F40" i="6"/>
  <c r="G40" i="6"/>
  <c r="H40" i="6"/>
  <c r="I40" i="6"/>
  <c r="J40" i="6"/>
  <c r="K40" i="6"/>
  <c r="L40" i="6"/>
  <c r="M40" i="6"/>
  <c r="N40" i="6"/>
  <c r="O40" i="6"/>
  <c r="Q11" i="6"/>
  <c r="Q10" i="6"/>
  <c r="Q9" i="6"/>
  <c r="O3" i="6"/>
  <c r="N3" i="6"/>
  <c r="M3" i="6"/>
  <c r="L3" i="6"/>
  <c r="K3" i="6"/>
  <c r="J3" i="6"/>
  <c r="I3" i="6"/>
  <c r="H3" i="6"/>
  <c r="G3" i="6"/>
  <c r="F3" i="6"/>
  <c r="E3" i="6"/>
  <c r="D3" i="6"/>
  <c r="C43" i="6" l="1"/>
  <c r="Q40" i="6"/>
  <c r="Q12" i="6"/>
  <c r="C35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2" i="4"/>
  <c r="C10" i="4"/>
  <c r="C8" i="4"/>
  <c r="C7" i="4"/>
  <c r="D6" i="6" l="1"/>
  <c r="D13" i="6" s="1"/>
  <c r="C9" i="4"/>
  <c r="C11" i="4" s="1"/>
  <c r="C13" i="4" s="1"/>
  <c r="C32" i="4"/>
  <c r="B32" i="4"/>
  <c r="B9" i="4"/>
  <c r="B11" i="4" s="1"/>
  <c r="B13" i="4" s="1"/>
  <c r="D43" i="6" l="1"/>
  <c r="E6" i="6" s="1"/>
  <c r="E13" i="6" s="1"/>
  <c r="C34" i="4"/>
  <c r="C36" i="4" s="1"/>
  <c r="C42" i="4" s="1"/>
  <c r="C43" i="4" s="1"/>
  <c r="C44" i="4" s="1"/>
  <c r="C45" i="4" s="1"/>
  <c r="B34" i="4"/>
  <c r="B36" i="4" s="1"/>
  <c r="D9" i="4"/>
  <c r="D11" i="4" s="1"/>
  <c r="D13" i="4" s="1"/>
  <c r="E43" i="6" l="1"/>
  <c r="F6" i="6" s="1"/>
  <c r="F13" i="6" s="1"/>
  <c r="F43" i="6" s="1"/>
  <c r="G6" i="6" s="1"/>
  <c r="G13" i="6" s="1"/>
  <c r="G43" i="6" s="1"/>
  <c r="H6" i="6" s="1"/>
  <c r="H13" i="6" s="1"/>
  <c r="H43" i="6" s="1"/>
  <c r="I6" i="6" s="1"/>
  <c r="I13" i="6" s="1"/>
  <c r="I43" i="6" s="1"/>
  <c r="B37" i="4"/>
  <c r="E35" i="4"/>
  <c r="R15" i="4" s="1"/>
  <c r="S15" i="4" s="1"/>
  <c r="T15" i="4" s="1"/>
  <c r="E7" i="4"/>
  <c r="J6" i="6" l="1"/>
  <c r="J13" i="6" s="1"/>
  <c r="J43" i="6" s="1"/>
  <c r="B38" i="4"/>
  <c r="C37" i="4"/>
  <c r="C38" i="4" s="1"/>
  <c r="E34" i="5"/>
  <c r="K6" i="6" l="1"/>
  <c r="K13" i="6" s="1"/>
  <c r="K43" i="6" s="1"/>
  <c r="E42" i="5"/>
  <c r="E31" i="5"/>
  <c r="L6" i="6" l="1"/>
  <c r="L13" i="6" s="1"/>
  <c r="L43" i="6" s="1"/>
  <c r="E45" i="5"/>
  <c r="D32" i="4"/>
  <c r="E8" i="4"/>
  <c r="E9" i="4"/>
  <c r="E17" i="4"/>
  <c r="E18" i="4"/>
  <c r="E19" i="4"/>
  <c r="E20" i="4"/>
  <c r="R17" i="4" s="1"/>
  <c r="S17" i="4" s="1"/>
  <c r="T17" i="4" s="1"/>
  <c r="E21" i="4"/>
  <c r="E22" i="4"/>
  <c r="R18" i="4" s="1"/>
  <c r="S18" i="4" s="1"/>
  <c r="T18" i="4" s="1"/>
  <c r="E23" i="4"/>
  <c r="E24" i="4"/>
  <c r="E25" i="4"/>
  <c r="E26" i="4"/>
  <c r="E27" i="4"/>
  <c r="E28" i="4"/>
  <c r="E29" i="4"/>
  <c r="E30" i="4"/>
  <c r="E31" i="4"/>
  <c r="E16" i="4"/>
  <c r="E10" i="4"/>
  <c r="R22" i="4" s="1"/>
  <c r="S22" i="4" s="1"/>
  <c r="T22" i="4" s="1"/>
  <c r="E12" i="4"/>
  <c r="L18" i="3"/>
  <c r="M19" i="3" s="1"/>
  <c r="J18" i="3"/>
  <c r="K19" i="3" s="1"/>
  <c r="H18" i="3"/>
  <c r="I18" i="3" s="1"/>
  <c r="F18" i="3"/>
  <c r="G18" i="3" s="1"/>
  <c r="D18" i="3"/>
  <c r="E19" i="3" s="1"/>
  <c r="B18" i="3"/>
  <c r="C19" i="3" s="1"/>
  <c r="M8" i="3"/>
  <c r="M13" i="3" s="1"/>
  <c r="K8" i="3"/>
  <c r="K16" i="3" s="1"/>
  <c r="I8" i="3"/>
  <c r="I15" i="3" s="1"/>
  <c r="G8" i="3"/>
  <c r="G14" i="3" s="1"/>
  <c r="E8" i="3"/>
  <c r="E13" i="3" s="1"/>
  <c r="C8" i="3"/>
  <c r="C16" i="3" s="1"/>
  <c r="M6" i="6" l="1"/>
  <c r="M13" i="6" s="1"/>
  <c r="M43" i="6" s="1"/>
  <c r="M12" i="3"/>
  <c r="R16" i="4"/>
  <c r="S16" i="4" s="1"/>
  <c r="T16" i="4" s="1"/>
  <c r="R19" i="4"/>
  <c r="S19" i="4" s="1"/>
  <c r="T19" i="4" s="1"/>
  <c r="R21" i="4"/>
  <c r="S21" i="4" s="1"/>
  <c r="T21" i="4" s="1"/>
  <c r="M16" i="3"/>
  <c r="K14" i="3"/>
  <c r="K11" i="3"/>
  <c r="K15" i="3"/>
  <c r="M11" i="3"/>
  <c r="M15" i="3"/>
  <c r="M18" i="3"/>
  <c r="E32" i="4"/>
  <c r="D34" i="4"/>
  <c r="D36" i="4" s="1"/>
  <c r="D37" i="4" s="1"/>
  <c r="I19" i="3"/>
  <c r="G19" i="3"/>
  <c r="N19" i="3" s="1"/>
  <c r="M22" i="3" s="1"/>
  <c r="N22" i="3" s="1"/>
  <c r="E18" i="3"/>
  <c r="I14" i="3"/>
  <c r="E16" i="3"/>
  <c r="E15" i="3"/>
  <c r="E12" i="3"/>
  <c r="E11" i="3"/>
  <c r="C15" i="3"/>
  <c r="C11" i="3"/>
  <c r="C14" i="3"/>
  <c r="G13" i="3"/>
  <c r="G12" i="3"/>
  <c r="I13" i="3"/>
  <c r="G11" i="3"/>
  <c r="I12" i="3"/>
  <c r="C13" i="3"/>
  <c r="K13" i="3"/>
  <c r="E14" i="3"/>
  <c r="M14" i="3"/>
  <c r="G15" i="3"/>
  <c r="I16" i="3"/>
  <c r="C18" i="3"/>
  <c r="K18" i="3"/>
  <c r="G16" i="3"/>
  <c r="I11" i="3"/>
  <c r="C12" i="3"/>
  <c r="K12" i="3"/>
  <c r="N6" i="6" l="1"/>
  <c r="N13" i="6" s="1"/>
  <c r="N43" i="6" s="1"/>
  <c r="M17" i="3"/>
  <c r="K17" i="3"/>
  <c r="N16" i="3"/>
  <c r="N15" i="3"/>
  <c r="N18" i="3"/>
  <c r="M21" i="3" s="1"/>
  <c r="N21" i="3" s="1"/>
  <c r="D38" i="4"/>
  <c r="E11" i="4"/>
  <c r="E13" i="4" s="1"/>
  <c r="N12" i="3"/>
  <c r="I17" i="3"/>
  <c r="N11" i="3"/>
  <c r="E17" i="3"/>
  <c r="N14" i="3"/>
  <c r="N13" i="3"/>
  <c r="C17" i="3"/>
  <c r="G17" i="3"/>
  <c r="O6" i="6" l="1"/>
  <c r="O13" i="6" s="1"/>
  <c r="O43" i="6" s="1"/>
  <c r="C6" i="10" s="1"/>
  <c r="E34" i="4"/>
  <c r="E36" i="4" s="1"/>
  <c r="N17" i="3"/>
  <c r="M23" i="3" s="1"/>
  <c r="Q6" i="6" l="1"/>
  <c r="Q13" i="6" s="1"/>
  <c r="E37" i="4"/>
  <c r="D42" i="4"/>
  <c r="D43" i="4" s="1"/>
  <c r="N23" i="3"/>
  <c r="Q43" i="6" l="1"/>
  <c r="C13" i="10" s="1"/>
  <c r="C43" i="10" s="1"/>
  <c r="D6" i="10" s="1"/>
  <c r="D13" i="10" s="1"/>
  <c r="D43" i="10" s="1"/>
  <c r="E6" i="10" s="1"/>
  <c r="E13" i="10" s="1"/>
  <c r="E43" i="10" s="1"/>
  <c r="F6" i="10" s="1"/>
  <c r="F13" i="10" s="1"/>
  <c r="F43" i="10" s="1"/>
  <c r="G6" i="10" s="1"/>
  <c r="G13" i="10" s="1"/>
  <c r="G43" i="10" s="1"/>
  <c r="H6" i="10" s="1"/>
  <c r="H13" i="10" s="1"/>
  <c r="H43" i="10" s="1"/>
  <c r="I6" i="10" s="1"/>
  <c r="I13" i="10" s="1"/>
  <c r="I43" i="10" s="1"/>
  <c r="J6" i="10" s="1"/>
  <c r="J13" i="10" s="1"/>
  <c r="J43" i="10" s="1"/>
  <c r="K6" i="10" s="1"/>
  <c r="K13" i="10" s="1"/>
  <c r="K43" i="10" s="1"/>
  <c r="L6" i="10" s="1"/>
  <c r="L13" i="10" s="1"/>
  <c r="L43" i="10" s="1"/>
  <c r="M6" i="10" s="1"/>
  <c r="M13" i="10" s="1"/>
  <c r="M43" i="10" s="1"/>
  <c r="N6" i="10" s="1"/>
  <c r="D44" i="4"/>
  <c r="D45" i="4" s="1"/>
  <c r="M24" i="3"/>
  <c r="E38" i="4"/>
  <c r="R12" i="4" s="1"/>
  <c r="R13" i="4"/>
  <c r="N13" i="10" l="1"/>
  <c r="N43" i="10" s="1"/>
  <c r="Q6" i="10"/>
  <c r="Q13" i="10"/>
  <c r="Q43" i="10" s="1"/>
  <c r="C6" i="11"/>
  <c r="C13" i="11" s="1"/>
  <c r="C43" i="11" s="1"/>
  <c r="D6" i="11" s="1"/>
  <c r="D13" i="11" s="1"/>
  <c r="D43" i="11" s="1"/>
  <c r="E6" i="11" s="1"/>
  <c r="E13" i="11" s="1"/>
  <c r="E43" i="11" s="1"/>
  <c r="F6" i="11" s="1"/>
  <c r="F13" i="11" s="1"/>
  <c r="F43" i="11" s="1"/>
  <c r="G6" i="11" s="1"/>
  <c r="G13" i="11" s="1"/>
  <c r="G43" i="11" s="1"/>
  <c r="H6" i="11" s="1"/>
  <c r="H13" i="11" s="1"/>
  <c r="H43" i="11" s="1"/>
  <c r="I6" i="11" s="1"/>
  <c r="I13" i="11" s="1"/>
  <c r="I43" i="11" s="1"/>
  <c r="J6" i="11" s="1"/>
  <c r="J13" i="11" s="1"/>
  <c r="J43" i="11" s="1"/>
  <c r="K6" i="11" s="1"/>
  <c r="K13" i="11" s="1"/>
  <c r="K43" i="11" s="1"/>
  <c r="L6" i="11" s="1"/>
  <c r="L13" i="11" s="1"/>
  <c r="L43" i="11" s="1"/>
  <c r="M6" i="11" s="1"/>
  <c r="M13" i="11" s="1"/>
  <c r="M43" i="11" s="1"/>
  <c r="N6" i="11" s="1"/>
  <c r="N24" i="3"/>
  <c r="M26" i="3"/>
  <c r="M25" i="3"/>
  <c r="R14" i="4"/>
  <c r="E42" i="4"/>
  <c r="E43" i="4" s="1"/>
  <c r="E44" i="4" s="1"/>
  <c r="E45" i="4" s="1"/>
  <c r="N13" i="11" l="1"/>
  <c r="N43" i="11" s="1"/>
  <c r="Q6" i="11"/>
  <c r="Q13" i="11" s="1"/>
  <c r="Q43" i="11" s="1"/>
  <c r="R20" i="4"/>
  <c r="R23" i="4" s="1"/>
  <c r="R25" i="4" s="1"/>
  <c r="R27" i="4" s="1"/>
  <c r="S14" i="4"/>
  <c r="S20" i="4" s="1"/>
  <c r="S23" i="4" s="1"/>
  <c r="S25" i="4" s="1"/>
  <c r="S27" i="4" s="1"/>
  <c r="T14" i="4" l="1"/>
  <c r="S13" i="4"/>
  <c r="S12" i="4" s="1"/>
  <c r="T13" i="4" l="1"/>
  <c r="T12" i="4" s="1"/>
  <c r="T20" i="4"/>
  <c r="T23" i="4" s="1"/>
  <c r="T25" i="4" s="1"/>
  <c r="T27" i="4" s="1"/>
</calcChain>
</file>

<file path=xl/sharedStrings.xml><?xml version="1.0" encoding="utf-8"?>
<sst xmlns="http://schemas.openxmlformats.org/spreadsheetml/2006/main" count="395" uniqueCount="250">
  <si>
    <t>Tuotteet/tuoteryhmän nimi</t>
  </si>
  <si>
    <t>Tuote/tuoteryhmä 1</t>
  </si>
  <si>
    <t>Tuote/tuoteryhmä 2</t>
  </si>
  <si>
    <t>Tuote/tuoteryhmä 3</t>
  </si>
  <si>
    <t>Tuote/tuoteryhmä 4</t>
  </si>
  <si>
    <t>Tuote/tuoteryhmä 5</t>
  </si>
  <si>
    <t>Tuote/tuoteryhmä 6</t>
  </si>
  <si>
    <t xml:space="preserve"> - kulut</t>
  </si>
  <si>
    <t xml:space="preserve"> = kate</t>
  </si>
  <si>
    <t>Asiakas/asiakasryhmä</t>
  </si>
  <si>
    <t>F.</t>
  </si>
  <si>
    <t>Myyntikate yhteensä:</t>
  </si>
  <si>
    <t>Tuotemyynti yhteensä:</t>
  </si>
  <si>
    <t>€</t>
  </si>
  <si>
    <t>kpl, tuntia jne.</t>
  </si>
  <si>
    <t>EUR/kk</t>
  </si>
  <si>
    <t>ilman alvia</t>
  </si>
  <si>
    <t>Yhteensä</t>
  </si>
  <si>
    <t>Liikevaihto (ilman alv)</t>
  </si>
  <si>
    <t>kk</t>
  </si>
  <si>
    <t>vuodessa</t>
  </si>
  <si>
    <t>Kulut yhteensä:</t>
  </si>
  <si>
    <t>Erotus (mahdollinen lisämyyntitarve)</t>
  </si>
  <si>
    <t>Erotus % (tavoite n. 80%)</t>
  </si>
  <si>
    <t>Kannattavuuslaskelman myyntikatetarve kk/vuosi *)</t>
  </si>
  <si>
    <t>Vuodessa (12 kk)</t>
  </si>
  <si>
    <t>TAVOITETULOS (oma nettotulotarve)</t>
  </si>
  <si>
    <t>+ €</t>
  </si>
  <si>
    <t xml:space="preserve"> = NETTOTULOT</t>
  </si>
  <si>
    <t>= €</t>
  </si>
  <si>
    <t xml:space="preserve"> = RAHOITUSTARVE (oma bruttotulo)</t>
  </si>
  <si>
    <t>A = YHTEENSÄ</t>
  </si>
  <si>
    <t>YRITYSTOIMINNAN KIINTEÄT KULUT (ilman alv):</t>
  </si>
  <si>
    <t xml:space="preserve">  yrittäjän eläkevakuutus (YEL)</t>
  </si>
  <si>
    <t xml:space="preserve">  muut vakuutukset</t>
  </si>
  <si>
    <t xml:space="preserve">  omien työntekijöiden palkat</t>
  </si>
  <si>
    <t xml:space="preserve">  palkkojen sivukustannukset (n. 40 %)</t>
  </si>
  <si>
    <t xml:space="preserve">  vuokrat + sähkö</t>
  </si>
  <si>
    <t xml:space="preserve">  leasing-maksut ym. Osamaksut</t>
  </si>
  <si>
    <t xml:space="preserve">  markkinointi</t>
  </si>
  <si>
    <t xml:space="preserve">  puhelin, internet</t>
  </si>
  <si>
    <t xml:space="preserve">  matka/autokulut</t>
  </si>
  <si>
    <t xml:space="preserve">  kirjanpito</t>
  </si>
  <si>
    <t xml:space="preserve">  toimistokulut</t>
  </si>
  <si>
    <t xml:space="preserve">  koulutus</t>
  </si>
  <si>
    <t xml:space="preserve">  lehdet yms.</t>
  </si>
  <si>
    <t xml:space="preserve">  korjaukset</t>
  </si>
  <si>
    <t xml:space="preserve">  yrittäjän työttömyyskassamaksu</t>
  </si>
  <si>
    <t xml:space="preserve">  muut mahdolliset kulut</t>
  </si>
  <si>
    <t>B = KIINTEÄT KULUT YHTEENSÄ</t>
  </si>
  <si>
    <t xml:space="preserve">A+B MYYNTIKATETARVE </t>
  </si>
  <si>
    <t>+ Ostot (ilman alv) tavarakauppa, valmistus</t>
  </si>
  <si>
    <t xml:space="preserve"> = LIIKEVAIHTO</t>
  </si>
  <si>
    <t xml:space="preserve"> = KOKONAISMYYNTI / -LASKUTUS</t>
  </si>
  <si>
    <t xml:space="preserve">                      LASKUTUSTAVOITE</t>
  </si>
  <si>
    <t>Kuukausilaskutustavoite (esim. 11 kk/v)</t>
  </si>
  <si>
    <t>= €/kk</t>
  </si>
  <si>
    <t>Päivälaskutustavoite (esim. 20 pv/kk)</t>
  </si>
  <si>
    <t>= €/pv</t>
  </si>
  <si>
    <t>Tuntilaskutustavoite (esim. 8 h/pv)</t>
  </si>
  <si>
    <t>= €/h</t>
  </si>
  <si>
    <t>© YritysEspoo</t>
  </si>
  <si>
    <t>Ohjeet kannattavuuslaskelmaan:</t>
  </si>
  <si>
    <t>Tavoitetulos:</t>
  </si>
  <si>
    <t xml:space="preserve">Tavoitetulos tarkoittaa yrittäjän oman yritystoiminnan nettotulotarvetta. Saat sen, kun arvioit </t>
  </si>
  <si>
    <t>kuinka paljon rahaa tarvitset kuukaudessa henkilökohtaisiin menoihin (asuminen, ruoka,</t>
  </si>
  <si>
    <t xml:space="preserve"> vaatteet yms.). Tavoitetulosta voit myös arvioida työsuhteessa saamasi nettopalkan avulla.</t>
  </si>
  <si>
    <t>Nettotulot:</t>
  </si>
  <si>
    <t xml:space="preserve">Tavoitetulokseen lisätään yritystoiminnan lainojen lyhennys, jolloin saadaan nettotulot. Kun niihin </t>
  </si>
  <si>
    <t>lisätään verot ja yritystoiminnan lainojen korot saadaan summa (A=YHTEENSÄ), joka</t>
  </si>
  <si>
    <t xml:space="preserve"> yritystoiminnalla tulee ansaita elääkseen ja hoitaakseen yritystoiminnan lainat. </t>
  </si>
  <si>
    <t>Kiinteät kulut:</t>
  </si>
  <si>
    <t>Kiinteät kulut ovat kuluja, jotka eivät riipu yrityksen laskutuksen suuruudesta vaan jatkuvat</t>
  </si>
  <si>
    <t xml:space="preserve">kuukaudesta toiseen melko samansuuruisina. Kiinteitä kuluja ovat esim. muiden työtekijöiden </t>
  </si>
  <si>
    <t>palkat, vakuutukset, vuokrat, toimistokulut, sähkö/vesi jne.</t>
  </si>
  <si>
    <t>Myyntikatetarve:</t>
  </si>
  <si>
    <t xml:space="preserve">Laskemalla yhteen yritystoiminnan kiinteät kulut  saadaan summa (B = KIINTEÄT KULUT </t>
  </si>
  <si>
    <t xml:space="preserve">YHTEENSÄ) ja lisäämällä se edellä saatuun summaan (A=YHTEENSÄ) päästään  </t>
  </si>
  <si>
    <t>myyntikatetarpeeseen.</t>
  </si>
  <si>
    <t>Ostot:</t>
  </si>
  <si>
    <t>Tarkoittaa tavaraostoja tavarakaupassa ja valmistusmateriaaleja esim. tuotannossa.</t>
  </si>
  <si>
    <t>Liikevaihto:</t>
  </si>
  <si>
    <t>Liikevaihto kertoo yrityksen laskutuksen, ilman arvonlisäveroa.</t>
  </si>
  <si>
    <t>Arvonlisävero:</t>
  </si>
  <si>
    <t>Riippuu jossain määrin myytävistä tuotteista tai palveluista</t>
  </si>
  <si>
    <t>Kokonaismyynti/laskutus:</t>
  </si>
  <si>
    <t>Kokonaismyynti/laskutus on liikevaihto + arvonlisävero.</t>
  </si>
  <si>
    <t>Laskutustavoite:</t>
  </si>
  <si>
    <t xml:space="preserve">Laskutustavoitteen avulla voit laskea yrityksen kuukausi-, päivä-, ja tunti laskutustarpeen. Ota </t>
  </si>
  <si>
    <t xml:space="preserve">huomioon että yritys ei aina pysty laskuttamaan täysiä kuukausia, päiviä tai tunteja. Arvioi kuinka </t>
  </si>
  <si>
    <t>monta päivää tai tuntia yrityksesi pystyy laskuttamaan asiakkailtaan kuukaudessa.</t>
  </si>
  <si>
    <t>Vakuutusmaksut:</t>
  </si>
  <si>
    <t>Yrittäjän eläkevakuutusmaksu (YEL) on pakollinen ja arvioidaan yrittäjän omasta vuosiansiotulosta.</t>
  </si>
  <si>
    <t>Työntekijän eläkevakuutus (TyEL) on pakollinen silloin, kun yritykseen otetaan palkattu työntekijä.</t>
  </si>
  <si>
    <t xml:space="preserve">Täytä kannattavuuslaskelma ajatuksen kanssa.  Se on tärkeä työväline yritystä </t>
  </si>
  <si>
    <t>suunnitellessasi ja sen toiminnassa.</t>
  </si>
  <si>
    <t xml:space="preserve">© YritysEspoo    </t>
  </si>
  <si>
    <t xml:space="preserve">  + yrityslainojen lyhennys</t>
  </si>
  <si>
    <t xml:space="preserve">  + yrityslainojen korot</t>
  </si>
  <si>
    <t xml:space="preserve">  + verot omasta tulosta</t>
  </si>
  <si>
    <t xml:space="preserve">Tämä lomake auttaa sinua selvittämään mitä yritystoimintasi aloittaminen maksaa (rahan tarve), </t>
  </si>
  <si>
    <t>● Mitkä ovat yritystoimintasi kannalta tärkeitä ja järkeviä hankintoja?</t>
  </si>
  <si>
    <t xml:space="preserve">● Miten paljon käyttöpääomaa tarvitset selviytyäksesi ensimmäisistä kuukausista? </t>
  </si>
  <si>
    <t>● Kuinka paljon voit sijoittaa omaa rahaa tai/ja työvälineitä yritykseesi?</t>
  </si>
  <si>
    <t xml:space="preserve">● Kuinka paljon tarvitset lainaa, mistä hankit sen ja mitä se maksaa sekä tarvitsetko vakuuksia? </t>
  </si>
  <si>
    <t>RAHAN TARVE (ennen kuin aloitat yritystoiminnan)</t>
  </si>
  <si>
    <t>INVESTOINNIT</t>
  </si>
  <si>
    <t>Jos kyseessä liiketoiminnan osto, kauppasumma</t>
  </si>
  <si>
    <t>Työvälineet/tietotekniikka</t>
  </si>
  <si>
    <t>Apporttiomaisuus (jo valmiina olevat työvälineet)</t>
  </si>
  <si>
    <t>Puhelin</t>
  </si>
  <si>
    <t>Asennukset</t>
  </si>
  <si>
    <t>Auto</t>
  </si>
  <si>
    <t>Kalusteet</t>
  </si>
  <si>
    <t>Toimistotarvikkeet</t>
  </si>
  <si>
    <t>KÄYTTÖPÄÄOMA 1-3 KK</t>
  </si>
  <si>
    <t>Internetsivut, esitteet</t>
  </si>
  <si>
    <t>Vuokra tiloista/takuuvuokrat</t>
  </si>
  <si>
    <t>Laitevuokrat/leasing</t>
  </si>
  <si>
    <t>Yrittäjän oma toimeentulo</t>
  </si>
  <si>
    <t>Työntekijöiden palkat</t>
  </si>
  <si>
    <t>VAIHTO- JA RAHOITUSOMAISUUS</t>
  </si>
  <si>
    <t>Alkuvarasto</t>
  </si>
  <si>
    <t>Kassa</t>
  </si>
  <si>
    <t>RAHAN TARVE YHTEENSÄ</t>
  </si>
  <si>
    <t>RAHAN LÄHTEET (miten järjestät alkurahoituksen?)</t>
  </si>
  <si>
    <t>OMA PÄÄOMA</t>
  </si>
  <si>
    <t>Omat työvälineet</t>
  </si>
  <si>
    <t>Omat sijoitukset yritykseen</t>
  </si>
  <si>
    <t>LAINAPÄÄOMA</t>
  </si>
  <si>
    <t>Pankkilaina</t>
  </si>
  <si>
    <t>Finnvera</t>
  </si>
  <si>
    <t>RAHAN LÄHTEET YHTEENSÄ</t>
  </si>
  <si>
    <t>rahan tarpeen ja rahan lähteiden erotus, €</t>
  </si>
  <si>
    <t>OHJE: Laita tähän jo mahdollisesti liiketoimintaasi varten valmiina olevien työvälineiden arvioitu arvo</t>
  </si>
  <si>
    <t>Muut lainat (esim. lähipiirilaina)</t>
  </si>
  <si>
    <t>Muut (esim. luottokorttilimiitti jne)</t>
  </si>
  <si>
    <t>OHJE: rahoituslaskelma on tehty oikein, kun rahan tarve = rahan lähteet. Jos saat miinus-</t>
  </si>
  <si>
    <t xml:space="preserve">merkkisen tuloksen erotukseksi, sinun täytyy lisätä rahan lähteiden summaa niin, että se </t>
  </si>
  <si>
    <t>vastaa rahan tarvetta.</t>
  </si>
  <si>
    <t>myös esim. osakassopimuksen laatimisesta tai toimialakohtaisista luvista aiheutuvia kuluja</t>
  </si>
  <si>
    <t xml:space="preserve">Laskelma siirtää automaattisesti niiden arvon myös rahan lähteet -puolelle kohtaan omat </t>
  </si>
  <si>
    <t>työvälineet</t>
  </si>
  <si>
    <t>Remontointi</t>
  </si>
  <si>
    <t>sekä suunnittelemaan, miten aiot rahoittaa toiminnan (rahan lähteet).</t>
  </si>
  <si>
    <t>Veroton</t>
  </si>
  <si>
    <t>Sis. Alv</t>
  </si>
  <si>
    <t>Uusi yrittäjä saa 22 %:n alennuksen 48 ensimmäiseltä kuukaudelta.</t>
  </si>
  <si>
    <t>Muut satunnaiset käyttöpääomamenot</t>
  </si>
  <si>
    <t>OHJE: Saat alkavana yrittäjänä 22%:n alennuksen</t>
  </si>
  <si>
    <t>työtulosta otettuna alennettu YEL-kk-maksu</t>
  </si>
  <si>
    <t>OHJE: Esim. jos kk-nettotulotarpeesi on 1700 €/kk,</t>
  </si>
  <si>
    <t>euroa</t>
  </si>
  <si>
    <t>vuosi 2</t>
  </si>
  <si>
    <t>vuosi 3</t>
  </si>
  <si>
    <t>Myyntituotot</t>
  </si>
  <si>
    <t>Arvonlisävero</t>
  </si>
  <si>
    <t>LIIKEVAIHTO</t>
  </si>
  <si>
    <t>Aineet ja tarvikkeet</t>
  </si>
  <si>
    <t>Henkilöstökulut</t>
  </si>
  <si>
    <t>Vuokrat</t>
  </si>
  <si>
    <t>Markkinointi</t>
  </si>
  <si>
    <t>KÄYTTÖKATE</t>
  </si>
  <si>
    <t>Rahoituskulut</t>
  </si>
  <si>
    <t>Verot</t>
  </si>
  <si>
    <t>RAHOITUSTULOS</t>
  </si>
  <si>
    <t>Poistot</t>
  </si>
  <si>
    <t>NETTOTULOS</t>
  </si>
  <si>
    <t>Satunnaiset tuotot/kulut</t>
  </si>
  <si>
    <t>KOKONAISTULOS</t>
  </si>
  <si>
    <t>Liiketoiminnan muut kulut</t>
  </si>
  <si>
    <t>tulot</t>
  </si>
  <si>
    <t>menot</t>
  </si>
  <si>
    <t>kasvu %</t>
  </si>
  <si>
    <t>OHJE: voit muuttaa tulojen ja</t>
  </si>
  <si>
    <t>menojen kasvuprosenttilukuja</t>
  </si>
  <si>
    <t>Osakepääoma</t>
  </si>
  <si>
    <t xml:space="preserve"> + Arvonlisävero</t>
  </si>
  <si>
    <t>vuosi +1</t>
  </si>
  <si>
    <t>vuosi +2</t>
  </si>
  <si>
    <t>vuosi +3</t>
  </si>
  <si>
    <t>KOLMEN VUODEN TULOSLASKELMA</t>
  </si>
  <si>
    <t xml:space="preserve">Yrityksen perustamismenot </t>
  </si>
  <si>
    <t>OHJE: Toiminimen rekisteröinti maksaa 60 €, oy:n 275 €. Perustamismenoihin voidaan sisällyttää</t>
  </si>
  <si>
    <t>Kk</t>
  </si>
  <si>
    <t>Kannattavuuslaskelman avulla voit hahmottaa, minkälaiseen liikevaihtoon</t>
  </si>
  <si>
    <t>sinun tulisi minimissään pyrkiä. (täyttöohjeet alla)</t>
  </si>
  <si>
    <t xml:space="preserve">myyntilaskelmaan vihreään </t>
  </si>
  <si>
    <t>sarakekohtaan</t>
  </si>
  <si>
    <t>siirtynyt kk-myyntikatetarve</t>
  </si>
  <si>
    <t xml:space="preserve">*) kannattavuuslaskelmasta automaattisesti </t>
  </si>
  <si>
    <t>Tilikausi alkaa:</t>
  </si>
  <si>
    <t>Arvio</t>
  </si>
  <si>
    <t>Nimikearvio</t>
  </si>
  <si>
    <t>Kassaanmaksu</t>
  </si>
  <si>
    <t>Korjaus ja ylläpito</t>
  </si>
  <si>
    <t>Vuokra</t>
  </si>
  <si>
    <t>Muut kulut (määritä)</t>
  </si>
  <si>
    <t>Kassastamaksu yhteensä</t>
  </si>
  <si>
    <t>Maksuvalmius (kuun lopussa)</t>
  </si>
  <si>
    <t>2. VUOSI</t>
  </si>
  <si>
    <t>1. VUOSI</t>
  </si>
  <si>
    <r>
      <t xml:space="preserve">Aloittaaksesi yritystoiminnan </t>
    </r>
    <r>
      <rPr>
        <b/>
        <sz val="11.5"/>
        <color theme="1"/>
        <rFont val="Calibri Light"/>
        <family val="2"/>
        <scheme val="major"/>
      </rPr>
      <t>RAHAN TARPEET = RAHAN LÄHTEET</t>
    </r>
  </si>
  <si>
    <t xml:space="preserve">Tämä luku siirtyy automaattisesti </t>
  </si>
  <si>
    <t>(Ennen) käynnis-tystä</t>
  </si>
  <si>
    <r>
      <rPr>
        <b/>
        <sz val="14"/>
        <color theme="1" tint="0.249977111117893"/>
        <rFont val="Calibri Light"/>
        <family val="2"/>
        <scheme val="major"/>
      </rPr>
      <t xml:space="preserve">Yritystoiminnan </t>
    </r>
    <r>
      <rPr>
        <b/>
        <sz val="14"/>
        <color theme="4"/>
        <rFont val="Calibri Light"/>
        <family val="2"/>
        <scheme val="major"/>
      </rPr>
      <t>rahoitus</t>
    </r>
  </si>
  <si>
    <r>
      <t>Kannattavuus</t>
    </r>
    <r>
      <rPr>
        <b/>
        <sz val="14"/>
        <color theme="3"/>
        <rFont val="Calibri Light"/>
        <family val="2"/>
        <scheme val="major"/>
      </rPr>
      <t xml:space="preserve">laskelma / </t>
    </r>
    <r>
      <rPr>
        <b/>
        <sz val="14"/>
        <color theme="4"/>
        <rFont val="Calibri Light"/>
        <family val="2"/>
        <scheme val="major"/>
      </rPr>
      <t>ns. nollatulos</t>
    </r>
    <r>
      <rPr>
        <b/>
        <sz val="14"/>
        <color theme="1" tint="0.249977111117893"/>
        <rFont val="Calibri Light"/>
        <family val="2"/>
        <scheme val="major"/>
      </rPr>
      <t>laskelma</t>
    </r>
  </si>
  <si>
    <r>
      <t>Kassavirta</t>
    </r>
    <r>
      <rPr>
        <b/>
        <sz val="14"/>
        <color theme="3"/>
        <rFont val="Calibri Light"/>
        <family val="2"/>
        <scheme val="major"/>
      </rPr>
      <t>laskelma</t>
    </r>
  </si>
  <si>
    <t>Rahavarat kauden alussa (ns. alkukassa)</t>
  </si>
  <si>
    <t>Alkukassa + tulot</t>
  </si>
  <si>
    <t>Kertaluont. kulut/perustamiskulut</t>
  </si>
  <si>
    <t>Kirjanpitomaksut</t>
  </si>
  <si>
    <t>Puhelin ja internetkulut</t>
  </si>
  <si>
    <t>Verojen maksu</t>
  </si>
  <si>
    <t>Lainalyhennykset</t>
  </si>
  <si>
    <t>Lainakorot ja nostopalkkiot</t>
  </si>
  <si>
    <t>YEL</t>
  </si>
  <si>
    <t>Muut vakuutukset</t>
  </si>
  <si>
    <t>Palkkojen sivukulut</t>
  </si>
  <si>
    <t>Sähkö- ja vesimaksut</t>
  </si>
  <si>
    <t>Toimisto-, pankki- ja postikulut</t>
  </si>
  <si>
    <t>Matka- ja autokulut</t>
  </si>
  <si>
    <t>Markkinointi ja mainontakulut</t>
  </si>
  <si>
    <t>Siivous-, kiinteistö- ja jätekulut</t>
  </si>
  <si>
    <t>Ohjelmisto- ja lisenssimaksut</t>
  </si>
  <si>
    <t>Jäsenmaksut</t>
  </si>
  <si>
    <t>Vuokravakuus</t>
  </si>
  <si>
    <t>Ostot (raaka-aineet, varasto)</t>
  </si>
  <si>
    <t>Investoinnit/hankinnat</t>
  </si>
  <si>
    <t>Käteismyynti (alv 0%)</t>
  </si>
  <si>
    <t>Maksut myyntisaamisista (alv 0%)</t>
  </si>
  <si>
    <t>Muut tulot (alv 0%)</t>
  </si>
  <si>
    <t>Kassastamaksu (alv 0%)</t>
  </si>
  <si>
    <t>Yrittäjän palkka tai yksityisnostot</t>
  </si>
  <si>
    <t>veroton a hinta</t>
  </si>
  <si>
    <t xml:space="preserve"> veroton a hinta</t>
  </si>
  <si>
    <t>Nimeä tuote/palvelu tähän</t>
  </si>
  <si>
    <t>A. (määrittele)</t>
  </si>
  <si>
    <t>B. (määrittele)</t>
  </si>
  <si>
    <t>C. (määrittele)</t>
  </si>
  <si>
    <t>D. (määrittele)</t>
  </si>
  <si>
    <t>E. (määrittele)</t>
  </si>
  <si>
    <r>
      <t>Kuukausimyynti</t>
    </r>
    <r>
      <rPr>
        <b/>
        <sz val="14"/>
        <color theme="3"/>
        <rFont val="Calibri Light"/>
        <family val="2"/>
        <scheme val="major"/>
      </rPr>
      <t>laskelma</t>
    </r>
  </si>
  <si>
    <t>LUE OHJEET TÄYTTÄMISEEN TÄSTÄ:</t>
  </si>
  <si>
    <t>1. puoli vuotta      x.x.xxxx-x.x.2020</t>
  </si>
  <si>
    <t xml:space="preserve">OHJE: merkitse sinisiin sarakkeeseen 1. puolen vuoden tilikausi </t>
  </si>
  <si>
    <t>Tavoitetilanne 1-3 vuoden sisällä</t>
  </si>
  <si>
    <t>YEL:n normaalimaksusta; esim. 13 076 €:n vuosi-</t>
  </si>
  <si>
    <t>alle 53-vuotiaalle on 205 €/kk</t>
  </si>
  <si>
    <t>valtio+kuntaverot omasta tulosta ovat noin 550 €/kk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</si>
</sst>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"/>
    <numFmt numFmtId="165" formatCode="dd"/>
    <numFmt numFmtId="166" formatCode="0_);\-0_)"/>
    <numFmt numFmtId="167" formatCode="#,##0_ ;\-#,##0\ 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1.5"/>
      <color theme="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 tint="0.14996795556505021"/>
      <name val="Tahoma"/>
      <family val="2"/>
    </font>
    <font>
      <sz val="18"/>
      <color theme="1" tint="0.1499679555650502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  <font>
      <sz val="10"/>
      <color theme="1" tint="0.14996795556505021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b/>
      <sz val="10"/>
      <color theme="1" tint="0.14996795556505021"/>
      <name val="Calibri Light"/>
      <family val="2"/>
      <scheme val="major"/>
    </font>
    <font>
      <sz val="16"/>
      <color theme="1" tint="0.14996795556505021"/>
      <name val="Calibri Light"/>
      <family val="2"/>
      <scheme val="major"/>
    </font>
    <font>
      <sz val="10"/>
      <color theme="1" tint="0.1499984740745262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.5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.5"/>
      <color theme="1" tint="0.14996795556505021"/>
      <name val="Tahoma"/>
      <family val="2"/>
    </font>
    <font>
      <sz val="11.5"/>
      <color theme="1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4"/>
      <color theme="1" tint="0.249977111117893"/>
      <name val="Calibri Light"/>
      <family val="2"/>
      <scheme val="major"/>
    </font>
    <font>
      <b/>
      <sz val="14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sz val="11"/>
      <color theme="1" tint="0.14996795556505021"/>
      <name val="Calibri Light"/>
      <family val="2"/>
      <scheme val="major"/>
    </font>
    <font>
      <sz val="11"/>
      <color theme="1" tint="0.14996795556505021"/>
      <name val="Tahoma"/>
      <family val="2"/>
    </font>
    <font>
      <b/>
      <sz val="10"/>
      <color theme="1" tint="0.14975432599871821"/>
      <name val="Calibri Light"/>
      <family val="2"/>
      <scheme val="major"/>
    </font>
    <font>
      <b/>
      <sz val="10"/>
      <color theme="1" tint="0.14999847407452621"/>
      <name val="Calibri Light"/>
      <family val="2"/>
      <scheme val="major"/>
    </font>
    <font>
      <sz val="10"/>
      <color theme="1" tint="0.14975432599871821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58" applyNumberFormat="0" applyFill="0" applyAlignment="0" applyProtection="0"/>
    <xf numFmtId="164" fontId="6" fillId="0" borderId="61">
      <alignment horizontal="right" vertical="center" wrapText="1" indent="1"/>
    </xf>
    <xf numFmtId="166" fontId="7" fillId="8" borderId="66" applyFont="0" applyAlignment="0">
      <alignment vertical="center"/>
    </xf>
  </cellStyleXfs>
  <cellXfs count="30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5" fillId="0" borderId="0" xfId="0" applyFont="1" applyAlignment="1">
      <alignment vertical="center"/>
    </xf>
    <xf numFmtId="0" fontId="8" fillId="0" borderId="59" xfId="0" applyFont="1" applyBorder="1" applyAlignment="1">
      <alignment vertical="center"/>
    </xf>
    <xf numFmtId="0" fontId="9" fillId="0" borderId="59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7" borderId="60" xfId="0" applyFont="1" applyFill="1" applyBorder="1" applyAlignment="1">
      <alignment vertical="center"/>
    </xf>
    <xf numFmtId="14" fontId="12" fillId="0" borderId="0" xfId="0" applyNumberFormat="1" applyFont="1" applyAlignment="1">
      <alignment horizontal="left" vertical="center" indent="1"/>
    </xf>
    <xf numFmtId="3" fontId="12" fillId="0" borderId="0" xfId="0" applyNumberFormat="1" applyFont="1" applyAlignment="1">
      <alignment horizontal="right" wrapText="1" indent="1"/>
    </xf>
    <xf numFmtId="166" fontId="12" fillId="7" borderId="62" xfId="0" applyNumberFormat="1" applyFont="1" applyFill="1" applyBorder="1" applyAlignment="1">
      <alignment horizontal="right"/>
    </xf>
    <xf numFmtId="0" fontId="8" fillId="7" borderId="64" xfId="0" applyFont="1" applyFill="1" applyBorder="1" applyAlignment="1">
      <alignment vertical="center"/>
    </xf>
    <xf numFmtId="166" fontId="13" fillId="0" borderId="0" xfId="0" applyNumberFormat="1" applyFont="1" applyAlignment="1">
      <alignment horizontal="left" vertical="center" indent="1"/>
    </xf>
    <xf numFmtId="166" fontId="8" fillId="7" borderId="64" xfId="0" applyNumberFormat="1" applyFont="1" applyFill="1" applyBorder="1" applyAlignment="1">
      <alignment vertical="center"/>
    </xf>
    <xf numFmtId="0" fontId="8" fillId="7" borderId="67" xfId="0" applyFont="1" applyFill="1" applyBorder="1" applyAlignment="1">
      <alignment vertical="center"/>
    </xf>
    <xf numFmtId="0" fontId="8" fillId="7" borderId="68" xfId="0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166" fontId="12" fillId="7" borderId="69" xfId="0" applyNumberFormat="1" applyFont="1" applyFill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3" fontId="8" fillId="7" borderId="64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4" borderId="0" xfId="0" applyFont="1" applyFill="1"/>
    <xf numFmtId="0" fontId="15" fillId="4" borderId="0" xfId="0" applyFont="1" applyFill="1" applyAlignment="1">
      <alignment horizontal="center"/>
    </xf>
    <xf numFmtId="3" fontId="16" fillId="0" borderId="30" xfId="0" applyNumberFormat="1" applyFont="1" applyBorder="1"/>
    <xf numFmtId="3" fontId="16" fillId="0" borderId="23" xfId="0" applyNumberFormat="1" applyFont="1" applyBorder="1"/>
    <xf numFmtId="0" fontId="16" fillId="0" borderId="32" xfId="0" applyFont="1" applyBorder="1"/>
    <xf numFmtId="3" fontId="16" fillId="0" borderId="20" xfId="0" applyNumberFormat="1" applyFont="1" applyBorder="1"/>
    <xf numFmtId="3" fontId="15" fillId="4" borderId="18" xfId="0" applyNumberFormat="1" applyFont="1" applyFill="1" applyBorder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4" fillId="0" borderId="0" xfId="0" applyFont="1" applyBorder="1"/>
    <xf numFmtId="0" fontId="14" fillId="0" borderId="0" xfId="0" applyFont="1" applyFill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8" fillId="6" borderId="22" xfId="0" applyFont="1" applyFill="1" applyBorder="1" applyAlignment="1">
      <alignment vertical="center"/>
    </xf>
    <xf numFmtId="3" fontId="14" fillId="0" borderId="49" xfId="0" applyNumberFormat="1" applyFont="1" applyBorder="1"/>
    <xf numFmtId="3" fontId="14" fillId="0" borderId="9" xfId="0" applyNumberFormat="1" applyFont="1" applyBorder="1"/>
    <xf numFmtId="3" fontId="14" fillId="0" borderId="45" xfId="0" applyNumberFormat="1" applyFont="1" applyBorder="1"/>
    <xf numFmtId="0" fontId="18" fillId="6" borderId="20" xfId="0" applyFont="1" applyFill="1" applyBorder="1"/>
    <xf numFmtId="3" fontId="14" fillId="0" borderId="7" xfId="0" applyNumberFormat="1" applyFont="1" applyBorder="1"/>
    <xf numFmtId="3" fontId="14" fillId="0" borderId="17" xfId="0" applyNumberFormat="1" applyFont="1" applyBorder="1"/>
    <xf numFmtId="3" fontId="14" fillId="0" borderId="4" xfId="0" applyNumberFormat="1" applyFont="1" applyBorder="1"/>
    <xf numFmtId="0" fontId="18" fillId="3" borderId="0" xfId="0" applyFont="1" applyFill="1"/>
    <xf numFmtId="3" fontId="18" fillId="3" borderId="7" xfId="0" applyNumberFormat="1" applyFont="1" applyFill="1" applyBorder="1"/>
    <xf numFmtId="3" fontId="18" fillId="3" borderId="4" xfId="0" applyNumberFormat="1" applyFont="1" applyFill="1" applyBorder="1"/>
    <xf numFmtId="3" fontId="18" fillId="3" borderId="17" xfId="0" applyNumberFormat="1" applyFont="1" applyFill="1" applyBorder="1"/>
    <xf numFmtId="3" fontId="14" fillId="0" borderId="17" xfId="0" applyNumberFormat="1" applyFont="1" applyFill="1" applyBorder="1"/>
    <xf numFmtId="0" fontId="14" fillId="0" borderId="0" xfId="0" applyFont="1" applyFill="1"/>
    <xf numFmtId="0" fontId="18" fillId="0" borderId="0" xfId="0" applyFont="1" applyFill="1"/>
    <xf numFmtId="0" fontId="18" fillId="6" borderId="13" xfId="0" applyFont="1" applyFill="1" applyBorder="1"/>
    <xf numFmtId="0" fontId="18" fillId="6" borderId="42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3" fontId="14" fillId="0" borderId="48" xfId="0" applyNumberFormat="1" applyFont="1" applyBorder="1"/>
    <xf numFmtId="3" fontId="14" fillId="0" borderId="11" xfId="0" applyNumberFormat="1" applyFont="1" applyBorder="1"/>
    <xf numFmtId="3" fontId="14" fillId="0" borderId="54" xfId="0" applyNumberFormat="1" applyFont="1" applyBorder="1"/>
    <xf numFmtId="0" fontId="14" fillId="0" borderId="8" xfId="0" applyFont="1" applyBorder="1"/>
    <xf numFmtId="3" fontId="14" fillId="0" borderId="27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0" fontId="18" fillId="3" borderId="12" xfId="0" applyFont="1" applyFill="1" applyBorder="1"/>
    <xf numFmtId="3" fontId="18" fillId="3" borderId="12" xfId="0" applyNumberFormat="1" applyFont="1" applyFill="1" applyBorder="1"/>
    <xf numFmtId="3" fontId="18" fillId="3" borderId="14" xfId="0" applyNumberFormat="1" applyFont="1" applyFill="1" applyBorder="1"/>
    <xf numFmtId="3" fontId="18" fillId="3" borderId="46" xfId="0" applyNumberFormat="1" applyFont="1" applyFill="1" applyBorder="1"/>
    <xf numFmtId="0" fontId="14" fillId="0" borderId="10" xfId="0" applyFont="1" applyBorder="1"/>
    <xf numFmtId="3" fontId="14" fillId="0" borderId="3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3" fontId="14" fillId="0" borderId="0" xfId="0" applyNumberFormat="1" applyFont="1"/>
    <xf numFmtId="0" fontId="18" fillId="4" borderId="13" xfId="0" applyFont="1" applyFill="1" applyBorder="1"/>
    <xf numFmtId="3" fontId="18" fillId="4" borderId="42" xfId="0" applyNumberFormat="1" applyFont="1" applyFill="1" applyBorder="1" applyAlignment="1">
      <alignment horizontal="right"/>
    </xf>
    <xf numFmtId="3" fontId="18" fillId="4" borderId="14" xfId="0" applyNumberFormat="1" applyFont="1" applyFill="1" applyBorder="1" applyAlignment="1">
      <alignment horizontal="right"/>
    </xf>
    <xf numFmtId="0" fontId="18" fillId="0" borderId="32" xfId="0" applyFont="1" applyBorder="1"/>
    <xf numFmtId="3" fontId="18" fillId="0" borderId="0" xfId="0" applyNumberFormat="1" applyFont="1" applyBorder="1"/>
    <xf numFmtId="3" fontId="14" fillId="0" borderId="1" xfId="0" applyNumberFormat="1" applyFont="1" applyBorder="1"/>
    <xf numFmtId="3" fontId="14" fillId="0" borderId="57" xfId="0" applyNumberFormat="1" applyFont="1" applyBorder="1"/>
    <xf numFmtId="3" fontId="14" fillId="0" borderId="47" xfId="0" applyNumberFormat="1" applyFont="1" applyFill="1" applyBorder="1"/>
    <xf numFmtId="3" fontId="14" fillId="0" borderId="2" xfId="0" applyNumberFormat="1" applyFont="1" applyBorder="1"/>
    <xf numFmtId="0" fontId="14" fillId="0" borderId="3" xfId="0" applyFont="1" applyBorder="1"/>
    <xf numFmtId="3" fontId="14" fillId="0" borderId="25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4" fillId="0" borderId="3" xfId="0" applyNumberFormat="1" applyFont="1" applyBorder="1"/>
    <xf numFmtId="3" fontId="14" fillId="0" borderId="25" xfId="0" applyNumberFormat="1" applyFont="1" applyBorder="1"/>
    <xf numFmtId="0" fontId="14" fillId="0" borderId="15" xfId="0" applyFont="1" applyBorder="1"/>
    <xf numFmtId="3" fontId="14" fillId="0" borderId="43" xfId="0" applyNumberFormat="1" applyFont="1" applyBorder="1" applyAlignment="1">
      <alignment horizontal="right"/>
    </xf>
    <xf numFmtId="3" fontId="14" fillId="0" borderId="43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5" xfId="0" applyNumberFormat="1" applyFont="1" applyBorder="1"/>
    <xf numFmtId="3" fontId="14" fillId="0" borderId="26" xfId="0" applyNumberFormat="1" applyFont="1" applyBorder="1"/>
    <xf numFmtId="3" fontId="14" fillId="0" borderId="44" xfId="0" applyNumberFormat="1" applyFont="1" applyBorder="1"/>
    <xf numFmtId="3" fontId="14" fillId="0" borderId="6" xfId="0" applyNumberFormat="1" applyFont="1" applyBorder="1"/>
    <xf numFmtId="3" fontId="18" fillId="3" borderId="36" xfId="0" applyNumberFormat="1" applyFont="1" applyFill="1" applyBorder="1"/>
    <xf numFmtId="3" fontId="18" fillId="3" borderId="29" xfId="0" applyNumberFormat="1" applyFont="1" applyFill="1" applyBorder="1"/>
    <xf numFmtId="3" fontId="18" fillId="3" borderId="50" xfId="0" applyNumberFormat="1" applyFont="1" applyFill="1" applyBorder="1"/>
    <xf numFmtId="3" fontId="18" fillId="3" borderId="1" xfId="0" applyNumberFormat="1" applyFont="1" applyFill="1" applyBorder="1"/>
    <xf numFmtId="3" fontId="18" fillId="3" borderId="2" xfId="0" applyNumberFormat="1" applyFont="1" applyFill="1" applyBorder="1"/>
    <xf numFmtId="3" fontId="18" fillId="3" borderId="47" xfId="0" applyNumberFormat="1" applyFont="1" applyFill="1" applyBorder="1"/>
    <xf numFmtId="3" fontId="18" fillId="3" borderId="3" xfId="0" applyNumberFormat="1" applyFont="1" applyFill="1" applyBorder="1"/>
    <xf numFmtId="49" fontId="14" fillId="0" borderId="0" xfId="0" applyNumberFormat="1" applyFont="1"/>
    <xf numFmtId="3" fontId="18" fillId="3" borderId="5" xfId="0" applyNumberFormat="1" applyFont="1" applyFill="1" applyBorder="1"/>
    <xf numFmtId="3" fontId="18" fillId="3" borderId="6" xfId="0" applyNumberFormat="1" applyFont="1" applyFill="1" applyBorder="1"/>
    <xf numFmtId="3" fontId="18" fillId="3" borderId="44" xfId="0" applyNumberFormat="1" applyFont="1" applyFill="1" applyBorder="1"/>
    <xf numFmtId="3" fontId="18" fillId="0" borderId="0" xfId="0" applyNumberFormat="1" applyFont="1" applyFill="1"/>
    <xf numFmtId="0" fontId="18" fillId="0" borderId="0" xfId="0" applyFont="1" applyFill="1" applyBorder="1"/>
    <xf numFmtId="0" fontId="18" fillId="3" borderId="47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3" fontId="18" fillId="3" borderId="38" xfId="0" applyNumberFormat="1" applyFont="1" applyFill="1" applyBorder="1"/>
    <xf numFmtId="3" fontId="18" fillId="3" borderId="9" xfId="0" applyNumberFormat="1" applyFont="1" applyFill="1" applyBorder="1"/>
    <xf numFmtId="3" fontId="18" fillId="3" borderId="44" xfId="0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8" fillId="0" borderId="4" xfId="0" applyNumberFormat="1" applyFont="1" applyFill="1" applyBorder="1"/>
    <xf numFmtId="3" fontId="18" fillId="2" borderId="45" xfId="0" applyNumberFormat="1" applyFont="1" applyFill="1" applyBorder="1"/>
    <xf numFmtId="3" fontId="18" fillId="0" borderId="39" xfId="0" applyNumberFormat="1" applyFont="1" applyFill="1" applyBorder="1"/>
    <xf numFmtId="3" fontId="18" fillId="0" borderId="4" xfId="0" applyNumberFormat="1" applyFont="1" applyBorder="1"/>
    <xf numFmtId="3" fontId="18" fillId="0" borderId="17" xfId="0" applyNumberFormat="1" applyFont="1" applyBorder="1"/>
    <xf numFmtId="3" fontId="18" fillId="0" borderId="40" xfId="0" applyNumberFormat="1" applyFont="1" applyBorder="1"/>
    <xf numFmtId="3" fontId="18" fillId="0" borderId="6" xfId="0" applyNumberFormat="1" applyFont="1" applyBorder="1"/>
    <xf numFmtId="3" fontId="18" fillId="0" borderId="44" xfId="0" applyNumberFormat="1" applyFont="1" applyBorder="1"/>
    <xf numFmtId="3" fontId="18" fillId="0" borderId="41" xfId="0" applyNumberFormat="1" applyFont="1" applyBorder="1"/>
    <xf numFmtId="0" fontId="18" fillId="2" borderId="0" xfId="0" applyFont="1" applyFill="1"/>
    <xf numFmtId="0" fontId="19" fillId="0" borderId="0" xfId="0" applyFont="1"/>
    <xf numFmtId="0" fontId="0" fillId="0" borderId="0" xfId="0" applyFont="1"/>
    <xf numFmtId="0" fontId="20" fillId="0" borderId="0" xfId="0" applyFont="1"/>
    <xf numFmtId="0" fontId="16" fillId="0" borderId="30" xfId="0" applyFont="1" applyBorder="1"/>
    <xf numFmtId="0" fontId="16" fillId="0" borderId="1" xfId="0" applyFont="1" applyBorder="1"/>
    <xf numFmtId="0" fontId="16" fillId="0" borderId="2" xfId="0" applyFont="1" applyBorder="1"/>
    <xf numFmtId="0" fontId="15" fillId="6" borderId="19" xfId="0" applyFont="1" applyFill="1" applyBorder="1" applyAlignment="1">
      <alignment horizontal="center"/>
    </xf>
    <xf numFmtId="0" fontId="16" fillId="6" borderId="20" xfId="0" applyFont="1" applyFill="1" applyBorder="1"/>
    <xf numFmtId="0" fontId="15" fillId="6" borderId="5" xfId="0" applyFont="1" applyFill="1" applyBorder="1"/>
    <xf numFmtId="0" fontId="15" fillId="6" borderId="6" xfId="0" applyFont="1" applyFill="1" applyBorder="1" applyAlignment="1">
      <alignment horizontal="center"/>
    </xf>
    <xf numFmtId="0" fontId="15" fillId="6" borderId="21" xfId="0" applyFont="1" applyFill="1" applyBorder="1"/>
    <xf numFmtId="0" fontId="15" fillId="5" borderId="18" xfId="0" applyFont="1" applyFill="1" applyBorder="1"/>
    <xf numFmtId="0" fontId="16" fillId="5" borderId="13" xfId="0" applyFont="1" applyFill="1" applyBorder="1" applyAlignment="1">
      <alignment horizontal="center"/>
    </xf>
    <xf numFmtId="0" fontId="16" fillId="0" borderId="14" xfId="0" applyFont="1" applyBorder="1"/>
    <xf numFmtId="0" fontId="16" fillId="0" borderId="19" xfId="0" applyFont="1" applyBorder="1"/>
    <xf numFmtId="0" fontId="16" fillId="0" borderId="22" xfId="0" applyFont="1" applyBorder="1"/>
    <xf numFmtId="0" fontId="16" fillId="0" borderId="8" xfId="0" applyFont="1" applyBorder="1" applyAlignment="1">
      <alignment horizontal="right"/>
    </xf>
    <xf numFmtId="2" fontId="16" fillId="5" borderId="9" xfId="0" applyNumberFormat="1" applyFont="1" applyFill="1" applyBorder="1" applyAlignment="1">
      <alignment horizontal="right"/>
    </xf>
    <xf numFmtId="2" fontId="16" fillId="5" borderId="9" xfId="0" applyNumberFormat="1" applyFont="1" applyFill="1" applyBorder="1"/>
    <xf numFmtId="0" fontId="16" fillId="0" borderId="21" xfId="0" applyFont="1" applyBorder="1"/>
    <xf numFmtId="0" fontId="16" fillId="0" borderId="23" xfId="0" applyFont="1" applyBorder="1"/>
    <xf numFmtId="0" fontId="16" fillId="0" borderId="5" xfId="0" applyFont="1" applyBorder="1" applyAlignment="1">
      <alignment horizontal="right"/>
    </xf>
    <xf numFmtId="2" fontId="16" fillId="5" borderId="6" xfId="0" applyNumberFormat="1" applyFont="1" applyFill="1" applyBorder="1" applyAlignment="1">
      <alignment horizontal="right"/>
    </xf>
    <xf numFmtId="2" fontId="16" fillId="5" borderId="6" xfId="0" applyNumberFormat="1" applyFont="1" applyFill="1" applyBorder="1"/>
    <xf numFmtId="0" fontId="16" fillId="0" borderId="24" xfId="0" applyFont="1" applyBorder="1"/>
    <xf numFmtId="0" fontId="15" fillId="0" borderId="8" xfId="0" applyFont="1" applyBorder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15" fillId="0" borderId="9" xfId="0" applyNumberFormat="1" applyFont="1" applyBorder="1"/>
    <xf numFmtId="0" fontId="16" fillId="0" borderId="28" xfId="0" applyFont="1" applyBorder="1"/>
    <xf numFmtId="0" fontId="15" fillId="0" borderId="15" xfId="0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2" fontId="15" fillId="0" borderId="16" xfId="0" applyNumberFormat="1" applyFont="1" applyBorder="1"/>
    <xf numFmtId="0" fontId="15" fillId="6" borderId="18" xfId="0" applyFont="1" applyFill="1" applyBorder="1"/>
    <xf numFmtId="0" fontId="15" fillId="6" borderId="13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right"/>
    </xf>
    <xf numFmtId="0" fontId="16" fillId="6" borderId="14" xfId="0" applyFont="1" applyFill="1" applyBorder="1"/>
    <xf numFmtId="0" fontId="15" fillId="6" borderId="23" xfId="0" applyFont="1" applyFill="1" applyBorder="1" applyAlignment="1">
      <alignment horizontal="center"/>
    </xf>
    <xf numFmtId="0" fontId="16" fillId="5" borderId="22" xfId="0" applyFont="1" applyFill="1" applyBorder="1"/>
    <xf numFmtId="0" fontId="16" fillId="5" borderId="8" xfId="0" applyFont="1" applyFill="1" applyBorder="1" applyAlignment="1">
      <alignment horizontal="center"/>
    </xf>
    <xf numFmtId="4" fontId="16" fillId="0" borderId="9" xfId="0" applyNumberFormat="1" applyFont="1" applyFill="1" applyBorder="1" applyAlignment="1">
      <alignment horizontal="right"/>
    </xf>
    <xf numFmtId="4" fontId="16" fillId="0" borderId="9" xfId="0" applyNumberFormat="1" applyFont="1" applyBorder="1"/>
    <xf numFmtId="4" fontId="16" fillId="0" borderId="23" xfId="0" applyNumberFormat="1" applyFont="1" applyBorder="1"/>
    <xf numFmtId="0" fontId="16" fillId="5" borderId="23" xfId="0" applyFont="1" applyFill="1" applyBorder="1"/>
    <xf numFmtId="0" fontId="16" fillId="5" borderId="3" xfId="0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right"/>
    </xf>
    <xf numFmtId="4" fontId="16" fillId="0" borderId="4" xfId="0" applyNumberFormat="1" applyFont="1" applyBorder="1"/>
    <xf numFmtId="0" fontId="16" fillId="5" borderId="28" xfId="0" applyFont="1" applyFill="1" applyBorder="1"/>
    <xf numFmtId="0" fontId="16" fillId="5" borderId="10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right"/>
    </xf>
    <xf numFmtId="4" fontId="16" fillId="0" borderId="11" xfId="0" applyNumberFormat="1" applyFont="1" applyBorder="1"/>
    <xf numFmtId="0" fontId="15" fillId="0" borderId="30" xfId="0" applyFont="1" applyBorder="1"/>
    <xf numFmtId="0" fontId="15" fillId="0" borderId="1" xfId="0" applyFont="1" applyBorder="1" applyAlignment="1">
      <alignment horizontal="center"/>
    </xf>
    <xf numFmtId="4" fontId="15" fillId="0" borderId="2" xfId="0" applyNumberFormat="1" applyFont="1" applyBorder="1" applyAlignment="1">
      <alignment horizontal="right"/>
    </xf>
    <xf numFmtId="0" fontId="15" fillId="0" borderId="1" xfId="0" applyFont="1" applyBorder="1"/>
    <xf numFmtId="4" fontId="15" fillId="0" borderId="2" xfId="0" applyNumberFormat="1" applyFont="1" applyBorder="1"/>
    <xf numFmtId="4" fontId="15" fillId="0" borderId="23" xfId="0" applyNumberFormat="1" applyFont="1" applyBorder="1"/>
    <xf numFmtId="0" fontId="15" fillId="0" borderId="28" xfId="0" applyFont="1" applyBorder="1"/>
    <xf numFmtId="0" fontId="15" fillId="0" borderId="10" xfId="0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4" fontId="15" fillId="0" borderId="11" xfId="0" applyNumberFormat="1" applyFont="1" applyBorder="1"/>
    <xf numFmtId="4" fontId="15" fillId="0" borderId="28" xfId="0" applyNumberFormat="1" applyFont="1" applyBorder="1"/>
    <xf numFmtId="0" fontId="15" fillId="0" borderId="20" xfId="0" applyFont="1" applyBorder="1"/>
    <xf numFmtId="0" fontId="15" fillId="0" borderId="5" xfId="0" applyFont="1" applyBorder="1" applyAlignment="1">
      <alignment horizontal="center"/>
    </xf>
    <xf numFmtId="4" fontId="15" fillId="0" borderId="6" xfId="0" applyNumberFormat="1" applyFont="1" applyBorder="1" applyAlignment="1">
      <alignment horizontal="right"/>
    </xf>
    <xf numFmtId="4" fontId="15" fillId="0" borderId="6" xfId="0" applyNumberFormat="1" applyFont="1" applyBorder="1"/>
    <xf numFmtId="4" fontId="15" fillId="0" borderId="20" xfId="0" applyNumberFormat="1" applyFont="1" applyBorder="1"/>
    <xf numFmtId="0" fontId="16" fillId="6" borderId="13" xfId="0" applyFont="1" applyFill="1" applyBorder="1"/>
    <xf numFmtId="0" fontId="15" fillId="6" borderId="4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6" borderId="8" xfId="0" applyFont="1" applyFill="1" applyBorder="1"/>
    <xf numFmtId="3" fontId="16" fillId="0" borderId="27" xfId="0" applyNumberFormat="1" applyFont="1" applyBorder="1"/>
    <xf numFmtId="3" fontId="16" fillId="0" borderId="9" xfId="0" applyNumberFormat="1" applyFont="1" applyBorder="1"/>
    <xf numFmtId="2" fontId="16" fillId="0" borderId="0" xfId="0" applyNumberFormat="1" applyFont="1" applyFill="1" applyBorder="1"/>
    <xf numFmtId="0" fontId="16" fillId="6" borderId="3" xfId="0" applyFont="1" applyFill="1" applyBorder="1"/>
    <xf numFmtId="3" fontId="16" fillId="0" borderId="25" xfId="0" applyNumberFormat="1" applyFont="1" applyBorder="1"/>
    <xf numFmtId="3" fontId="16" fillId="0" borderId="4" xfId="0" applyNumberFormat="1" applyFont="1" applyBorder="1"/>
    <xf numFmtId="3" fontId="16" fillId="0" borderId="31" xfId="0" applyNumberFormat="1" applyFont="1" applyBorder="1"/>
    <xf numFmtId="0" fontId="16" fillId="2" borderId="7" xfId="0" applyFont="1" applyFill="1" applyBorder="1" applyAlignment="1">
      <alignment wrapText="1"/>
    </xf>
    <xf numFmtId="3" fontId="16" fillId="2" borderId="18" xfId="0" applyNumberFormat="1" applyFont="1" applyFill="1" applyBorder="1" applyAlignment="1">
      <alignment vertical="center"/>
    </xf>
    <xf numFmtId="3" fontId="16" fillId="0" borderId="40" xfId="0" applyNumberFormat="1" applyFont="1" applyFill="1" applyBorder="1" applyAlignment="1">
      <alignment vertical="center"/>
    </xf>
    <xf numFmtId="0" fontId="16" fillId="6" borderId="3" xfId="0" applyFont="1" applyFill="1" applyBorder="1" applyAlignment="1">
      <alignment wrapText="1"/>
    </xf>
    <xf numFmtId="0" fontId="16" fillId="6" borderId="5" xfId="0" applyFont="1" applyFill="1" applyBorder="1" applyAlignment="1">
      <alignment wrapText="1"/>
    </xf>
    <xf numFmtId="3" fontId="16" fillId="0" borderId="26" xfId="0" applyNumberFormat="1" applyFont="1" applyBorder="1"/>
    <xf numFmtId="3" fontId="16" fillId="0" borderId="6" xfId="0" applyNumberFormat="1" applyFont="1" applyBorder="1"/>
    <xf numFmtId="0" fontId="16" fillId="0" borderId="0" xfId="0" applyFont="1" applyFill="1" applyAlignment="1">
      <alignment horizontal="center"/>
    </xf>
    <xf numFmtId="0" fontId="16" fillId="2" borderId="0" xfId="0" applyFont="1" applyFill="1"/>
    <xf numFmtId="0" fontId="16" fillId="0" borderId="0" xfId="0" applyFont="1" applyFill="1"/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1" fillId="0" borderId="59" xfId="0" applyFont="1" applyBorder="1" applyAlignment="1">
      <alignment vertical="center"/>
    </xf>
    <xf numFmtId="0" fontId="23" fillId="0" borderId="59" xfId="1" applyFont="1" applyBorder="1"/>
    <xf numFmtId="0" fontId="26" fillId="0" borderId="0" xfId="0" applyFont="1"/>
    <xf numFmtId="0" fontId="23" fillId="0" borderId="0" xfId="1" applyFont="1" applyBorder="1"/>
    <xf numFmtId="0" fontId="26" fillId="0" borderId="0" xfId="0" applyFont="1" applyBorder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2" applyFont="1" applyBorder="1" applyAlignment="1">
      <alignment vertical="center"/>
    </xf>
    <xf numFmtId="0" fontId="29" fillId="0" borderId="70" xfId="2" applyFont="1" applyBorder="1" applyAlignment="1">
      <alignment vertical="center"/>
    </xf>
    <xf numFmtId="3" fontId="30" fillId="0" borderId="61" xfId="0" applyNumberFormat="1" applyFont="1" applyBorder="1" applyAlignment="1">
      <alignment horizontal="center" vertical="center" wrapText="1"/>
    </xf>
    <xf numFmtId="164" fontId="10" fillId="0" borderId="61" xfId="3" applyFont="1" applyAlignment="1">
      <alignment horizontal="center" vertical="center"/>
    </xf>
    <xf numFmtId="164" fontId="30" fillId="7" borderId="62" xfId="0" applyNumberFormat="1" applyFont="1" applyFill="1" applyBorder="1" applyAlignment="1">
      <alignment horizontal="right" vertical="center" wrapText="1" indent="1"/>
    </xf>
    <xf numFmtId="14" fontId="30" fillId="0" borderId="58" xfId="0" applyNumberFormat="1" applyFont="1" applyBorder="1" applyAlignment="1">
      <alignment horizontal="left" vertical="center" indent="1"/>
    </xf>
    <xf numFmtId="3" fontId="30" fillId="0" borderId="63" xfId="0" applyNumberFormat="1" applyFont="1" applyBorder="1" applyAlignment="1">
      <alignment horizontal="right" wrapText="1" indent="1"/>
    </xf>
    <xf numFmtId="165" fontId="30" fillId="0" borderId="63" xfId="0" applyNumberFormat="1" applyFont="1" applyBorder="1" applyAlignment="1">
      <alignment horizontal="center" wrapText="1"/>
    </xf>
    <xf numFmtId="165" fontId="12" fillId="7" borderId="62" xfId="0" applyNumberFormat="1" applyFont="1" applyFill="1" applyBorder="1" applyAlignment="1">
      <alignment horizontal="right" wrapText="1" indent="1"/>
    </xf>
    <xf numFmtId="3" fontId="12" fillId="0" borderId="61" xfId="0" applyNumberFormat="1" applyFont="1" applyBorder="1" applyAlignment="1">
      <alignment horizontal="center" wrapText="1"/>
    </xf>
    <xf numFmtId="165" fontId="12" fillId="0" borderId="0" xfId="0" applyNumberFormat="1" applyFont="1" applyAlignment="1">
      <alignment horizontal="right" wrapText="1" indent="1"/>
    </xf>
    <xf numFmtId="165" fontId="12" fillId="7" borderId="64" xfId="0" applyNumberFormat="1" applyFont="1" applyFill="1" applyBorder="1" applyAlignment="1">
      <alignment horizontal="right" wrapText="1" indent="1"/>
    </xf>
    <xf numFmtId="3" fontId="12" fillId="0" borderId="66" xfId="0" applyNumberFormat="1" applyFont="1" applyBorder="1" applyAlignment="1">
      <alignment horizontal="right" vertical="center"/>
    </xf>
    <xf numFmtId="0" fontId="32" fillId="0" borderId="66" xfId="0" applyFont="1" applyBorder="1" applyAlignment="1">
      <alignment vertical="center"/>
    </xf>
    <xf numFmtId="0" fontId="31" fillId="0" borderId="58" xfId="2" applyFont="1" applyAlignment="1">
      <alignment vertical="center"/>
    </xf>
    <xf numFmtId="3" fontId="8" fillId="0" borderId="58" xfId="0" applyNumberFormat="1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166" fontId="31" fillId="8" borderId="65" xfId="2" applyNumberFormat="1" applyFont="1" applyFill="1" applyBorder="1" applyAlignment="1">
      <alignment horizontal="left" vertical="center"/>
    </xf>
    <xf numFmtId="3" fontId="12" fillId="8" borderId="66" xfId="4" applyNumberFormat="1" applyFont="1">
      <alignment vertical="center"/>
    </xf>
    <xf numFmtId="0" fontId="31" fillId="0" borderId="58" xfId="2" applyFont="1" applyAlignment="1">
      <alignment horizontal="left"/>
    </xf>
    <xf numFmtId="3" fontId="8" fillId="0" borderId="64" xfId="0" applyNumberFormat="1" applyFont="1" applyFill="1" applyBorder="1" applyAlignment="1">
      <alignment vertical="center"/>
    </xf>
    <xf numFmtId="167" fontId="12" fillId="8" borderId="66" xfId="4" applyNumberFormat="1" applyFont="1">
      <alignment vertical="center"/>
    </xf>
    <xf numFmtId="0" fontId="32" fillId="0" borderId="65" xfId="0" applyFont="1" applyBorder="1"/>
    <xf numFmtId="166" fontId="31" fillId="0" borderId="65" xfId="2" applyNumberFormat="1" applyFont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16" fillId="5" borderId="23" xfId="0" applyNumberFormat="1" applyFont="1" applyFill="1" applyBorder="1"/>
    <xf numFmtId="0" fontId="14" fillId="5" borderId="33" xfId="0" applyFont="1" applyFill="1" applyBorder="1"/>
    <xf numFmtId="0" fontId="14" fillId="5" borderId="34" xfId="0" applyFont="1" applyFill="1" applyBorder="1"/>
    <xf numFmtId="0" fontId="14" fillId="5" borderId="35" xfId="0" applyFont="1" applyFill="1" applyBorder="1"/>
    <xf numFmtId="0" fontId="14" fillId="5" borderId="0" xfId="0" applyFont="1" applyFill="1" applyBorder="1"/>
    <xf numFmtId="0" fontId="14" fillId="5" borderId="36" xfId="0" applyFont="1" applyFill="1" applyBorder="1"/>
    <xf numFmtId="0" fontId="14" fillId="5" borderId="32" xfId="0" applyFont="1" applyFill="1" applyBorder="1"/>
    <xf numFmtId="0" fontId="14" fillId="5" borderId="37" xfId="0" applyFont="1" applyFill="1" applyBorder="1"/>
    <xf numFmtId="3" fontId="16" fillId="5" borderId="18" xfId="0" applyNumberFormat="1" applyFont="1" applyFill="1" applyBorder="1"/>
    <xf numFmtId="0" fontId="16" fillId="5" borderId="0" xfId="0" applyFont="1" applyFill="1" applyBorder="1"/>
    <xf numFmtId="0" fontId="16" fillId="5" borderId="71" xfId="0" applyFont="1" applyFill="1" applyBorder="1"/>
    <xf numFmtId="0" fontId="16" fillId="5" borderId="72" xfId="0" applyFont="1" applyFill="1" applyBorder="1"/>
    <xf numFmtId="0" fontId="14" fillId="5" borderId="72" xfId="0" applyFont="1" applyFill="1" applyBorder="1"/>
    <xf numFmtId="0" fontId="14" fillId="5" borderId="73" xfId="0" applyFont="1" applyFill="1" applyBorder="1"/>
    <xf numFmtId="0" fontId="16" fillId="5" borderId="74" xfId="0" applyFont="1" applyFill="1" applyBorder="1"/>
    <xf numFmtId="0" fontId="14" fillId="5" borderId="75" xfId="0" applyFont="1" applyFill="1" applyBorder="1"/>
    <xf numFmtId="0" fontId="16" fillId="5" borderId="76" xfId="0" applyFont="1" applyFill="1" applyBorder="1"/>
    <xf numFmtId="0" fontId="16" fillId="5" borderId="77" xfId="0" applyFont="1" applyFill="1" applyBorder="1"/>
    <xf numFmtId="0" fontId="14" fillId="5" borderId="77" xfId="0" applyFont="1" applyFill="1" applyBorder="1"/>
    <xf numFmtId="0" fontId="14" fillId="5" borderId="78" xfId="0" applyFont="1" applyFill="1" applyBorder="1"/>
    <xf numFmtId="0" fontId="14" fillId="5" borderId="71" xfId="0" applyFont="1" applyFill="1" applyBorder="1"/>
    <xf numFmtId="0" fontId="14" fillId="5" borderId="76" xfId="0" applyFont="1" applyFill="1" applyBorder="1"/>
    <xf numFmtId="0" fontId="14" fillId="5" borderId="74" xfId="0" applyFont="1" applyFill="1" applyBorder="1"/>
    <xf numFmtId="0" fontId="18" fillId="5" borderId="50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49" fontId="18" fillId="3" borderId="51" xfId="0" applyNumberFormat="1" applyFont="1" applyFill="1" applyBorder="1" applyAlignment="1">
      <alignment horizontal="center" vertical="center" wrapText="1"/>
    </xf>
    <xf numFmtId="49" fontId="18" fillId="3" borderId="52" xfId="0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wrapText="1"/>
    </xf>
    <xf numFmtId="0" fontId="18" fillId="5" borderId="52" xfId="0" applyFont="1" applyFill="1" applyBorder="1" applyAlignment="1">
      <alignment horizontal="center" wrapText="1"/>
    </xf>
    <xf numFmtId="3" fontId="18" fillId="3" borderId="55" xfId="0" applyNumberFormat="1" applyFont="1" applyFill="1" applyBorder="1" applyAlignment="1">
      <alignment horizontal="center"/>
    </xf>
    <xf numFmtId="3" fontId="18" fillId="3" borderId="56" xfId="0" applyNumberFormat="1" applyFont="1" applyFill="1" applyBorder="1" applyAlignment="1">
      <alignment horizontal="center"/>
    </xf>
    <xf numFmtId="0" fontId="14" fillId="5" borderId="79" xfId="0" applyFont="1" applyFill="1" applyBorder="1" applyAlignment="1">
      <alignment horizontal="left" vertical="top" wrapText="1"/>
    </xf>
    <xf numFmtId="0" fontId="14" fillId="5" borderId="80" xfId="0" applyFont="1" applyFill="1" applyBorder="1" applyAlignment="1">
      <alignment horizontal="left" vertical="top" wrapText="1"/>
    </xf>
    <xf numFmtId="0" fontId="14" fillId="5" borderId="8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5">
    <cellStyle name="Heading 1" xfId="2" builtinId="16"/>
    <cellStyle name="Month" xfId="3" xr:uid="{9597A19E-3CEE-4751-8828-B0DA2E36A318}"/>
    <cellStyle name="Normal" xfId="0" builtinId="0"/>
    <cellStyle name="Title" xfId="1" builtinId="15"/>
    <cellStyle name="Totals" xfId="4" xr:uid="{9A25965D-8FE1-4D4C-A90A-8BD0086470C0}"/>
  </cellStyles>
  <dxfs count="2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3" defaultTableStyle="TableStyleMedium2" defaultPivotStyle="PivotStyleLight16">
    <tableStyle name="Cash Receipts" pivot="0" count="7" xr9:uid="{2136C318-4E5A-4405-AAB3-269E1CB29A20}">
      <tableStyleElement type="wholeTable" dxfId="275"/>
      <tableStyleElement type="headerRow" dxfId="274"/>
      <tableStyleElement type="totalRow" dxfId="273"/>
      <tableStyleElement type="firstColumn" dxfId="272"/>
      <tableStyleElement type="lastColumn" dxfId="271"/>
      <tableStyleElement type="firstTotalCell" dxfId="270"/>
      <tableStyleElement type="lastTotalCell" dxfId="269"/>
    </tableStyle>
    <tableStyle name="Cash Receipts 2" pivot="0" count="7" xr9:uid="{9B4E5B4A-2ABE-48E6-82F8-32B6FF4E3670}">
      <tableStyleElement type="wholeTable" dxfId="268"/>
      <tableStyleElement type="headerRow" dxfId="267"/>
      <tableStyleElement type="totalRow" dxfId="266"/>
      <tableStyleElement type="firstColumn" dxfId="265"/>
      <tableStyleElement type="lastColumn" dxfId="264"/>
      <tableStyleElement type="firstTotalCell" dxfId="263"/>
      <tableStyleElement type="lastTotalCell" dxfId="262"/>
    </tableStyle>
    <tableStyle name="Cash Receipts 3" pivot="0" count="7" xr9:uid="{61E65428-D7A2-44C3-9439-C6E22175FA45}">
      <tableStyleElement type="wholeTable" dxfId="261"/>
      <tableStyleElement type="headerRow" dxfId="260"/>
      <tableStyleElement type="totalRow" dxfId="259"/>
      <tableStyleElement type="firstColumn" dxfId="258"/>
      <tableStyleElement type="lastColumn" dxfId="257"/>
      <tableStyleElement type="firstTotalCell" dxfId="256"/>
      <tableStyleElement type="lastTotalCell" dxfId="255"/>
    </tableStyle>
  </tableStyles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317500</xdr:colOff>
      <xdr:row>2</xdr:row>
      <xdr:rowOff>161171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FCF485-9E78-AD4D-8F5C-31D983A5D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63700" cy="542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38100</xdr:rowOff>
    </xdr:from>
    <xdr:to>
      <xdr:col>5</xdr:col>
      <xdr:colOff>127000</xdr:colOff>
      <xdr:row>3</xdr:row>
      <xdr:rowOff>52877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3FCBE0-6EDF-6040-BCAC-279B2D501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38100"/>
          <a:ext cx="1993900" cy="649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0</xdr:rowOff>
    </xdr:from>
    <xdr:to>
      <xdr:col>1</xdr:col>
      <xdr:colOff>1651000</xdr:colOff>
      <xdr:row>1</xdr:row>
      <xdr:rowOff>201542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91901F-9C9E-0947-9545-E8F21EDFB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4800" y="0"/>
          <a:ext cx="1358900" cy="4428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85BFE73-44F7-44F0-8A95-5B166A7947EE}" name="CashReceipts" displayName="CashReceipts" ref="A9:R12" headerRowCount="0" totalsRowCount="1" headerRowDxfId="251" dataDxfId="250" totalsRowDxfId="249">
  <tableColumns count="18">
    <tableColumn id="1" xr3:uid="{669BE875-E352-47EF-80B8-9F51F717F70C}" name="Items" totalsRowLabel="Yhteensä" headerRowDxfId="248" dataDxfId="247" totalsRowDxfId="246"/>
    <tableColumn id="17" xr3:uid="{115C186A-2672-4A98-9E21-ABCEAC4B2152}" name="Column2" headerRowDxfId="245" dataDxfId="244" totalsRowDxfId="243"/>
    <tableColumn id="2" xr3:uid="{1B10B61C-A008-45AD-BFD6-8FDF49341F1D}" name="Period 0" totalsRowFunction="sum" dataDxfId="242" totalsRowDxfId="241"/>
    <tableColumn id="3" xr3:uid="{F9B94CAA-EE24-407A-80E3-F43796908E81}" name="Period 1" totalsRowFunction="sum" dataDxfId="240" totalsRowDxfId="239"/>
    <tableColumn id="4" xr3:uid="{0DFC3438-C39F-400B-82FA-0A0EBF4A46EC}" name="Period 2" totalsRowFunction="sum" dataDxfId="238" totalsRowDxfId="237"/>
    <tableColumn id="5" xr3:uid="{6C372FED-C79B-4880-BBEA-31399BAECA42}" name="Period 3" totalsRowFunction="sum" dataDxfId="236" totalsRowDxfId="235"/>
    <tableColumn id="6" xr3:uid="{2997AC84-9DAA-4125-B42A-5925FA2D3EFC}" name="Period 4" totalsRowFunction="sum" dataDxfId="234" totalsRowDxfId="233"/>
    <tableColumn id="7" xr3:uid="{97EC2247-65A7-473B-92AD-A2ABC2778183}" name="Period 5" totalsRowFunction="sum" dataDxfId="232" totalsRowDxfId="231"/>
    <tableColumn id="8" xr3:uid="{069E30C0-EC2B-4B3A-8C86-6C6F926E76BE}" name="Period 6" totalsRowFunction="sum" dataDxfId="230" totalsRowDxfId="229"/>
    <tableColumn id="9" xr3:uid="{3EAAAE1C-3F76-41CA-8001-E0347B2FADF0}" name="Period 7" totalsRowFunction="sum" dataDxfId="228" totalsRowDxfId="227"/>
    <tableColumn id="10" xr3:uid="{0455FAB7-F784-4797-8DAF-BC04ADC2451E}" name="Period 8" totalsRowFunction="sum" dataDxfId="226" totalsRowDxfId="225"/>
    <tableColumn id="11" xr3:uid="{D4021E3F-824C-49B6-B773-1ACF4CBC1262}" name="Period 9" totalsRowFunction="sum" dataDxfId="224" totalsRowDxfId="223"/>
    <tableColumn id="12" xr3:uid="{44682D3E-AF6B-415B-9E12-82E4E0CA22DC}" name="Period 10" totalsRowFunction="sum" dataDxfId="222" totalsRowDxfId="221"/>
    <tableColumn id="13" xr3:uid="{04BDC859-9B86-469F-8492-AE1CD44E8E17}" name="Period 11" totalsRowFunction="sum" dataDxfId="220" totalsRowDxfId="219"/>
    <tableColumn id="14" xr3:uid="{110CF543-6297-4C7A-8E10-5CF02A7565F7}" name="Period 12" totalsRowFunction="sum" dataDxfId="218" totalsRowDxfId="217"/>
    <tableColumn id="18" xr3:uid="{62B68B1C-3B80-4AAB-B33E-57E61AF00D3D}" name="Column3" dataDxfId="216" totalsRowDxfId="215"/>
    <tableColumn id="15" xr3:uid="{371D55C8-5463-481B-9F2C-D8566BE84335}" name="Total" totalsRowFunction="sum" dataDxfId="214" totalsRowDxfId="213">
      <calculatedColumnFormula>SUM(CashReceipts[[#This Row],[Period 0]:[Period 12]])</calculatedColumnFormula>
    </tableColumn>
    <tableColumn id="16" xr3:uid="{0139DA1B-0E46-4C1B-A02A-71B1BFEE0C44}" name="Column1" dataDxfId="212" totalsRowDxfId="21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8A708C1-0CDA-48A9-A90A-C43BAB830F9E}" name="CashPaidOut" displayName="CashPaidOut" ref="A16:R40" headerRowCount="0" totalsRowCount="1" headerRowDxfId="210" dataDxfId="209" totalsRowDxfId="208">
  <tableColumns count="18">
    <tableColumn id="1" xr3:uid="{78506E17-DD9D-4A7D-9BA9-51052B684551}" name="Items" totalsRowLabel="Kassastamaksu yhteensä" headerRowDxfId="207" dataDxfId="206" totalsRowDxfId="205"/>
    <tableColumn id="17" xr3:uid="{D7F704F5-026C-4B87-B5F9-32099EE0249D}" name="Column2" headerRowDxfId="204" dataDxfId="203" totalsRowDxfId="202"/>
    <tableColumn id="2" xr3:uid="{179D58E0-35FC-4BFB-BE81-BB58C84E8FE9}" name="Period 0" totalsRowFunction="sum" dataDxfId="201" totalsRowDxfId="200"/>
    <tableColumn id="3" xr3:uid="{A92D2E5D-6FB9-43D3-A412-D535886FDE42}" name="Period 1" totalsRowFunction="sum" dataDxfId="199" totalsRowDxfId="198"/>
    <tableColumn id="4" xr3:uid="{92F9CC62-A99D-4F2C-A4F9-592F3400FA69}" name="Period 2" totalsRowFunction="sum" dataDxfId="197" totalsRowDxfId="196"/>
    <tableColumn id="5" xr3:uid="{673B50C4-6281-4569-8630-846814F2A01E}" name="Period 3" totalsRowFunction="sum" dataDxfId="195" totalsRowDxfId="194"/>
    <tableColumn id="6" xr3:uid="{75EFCBAF-9920-4AE2-80CE-335B397E2F16}" name="Period 4" totalsRowFunction="sum" dataDxfId="193" totalsRowDxfId="192"/>
    <tableColumn id="7" xr3:uid="{02B5A067-7D3C-4249-8AF1-966DC090EBB6}" name="Period 5" totalsRowFunction="sum" dataDxfId="191" totalsRowDxfId="190"/>
    <tableColumn id="8" xr3:uid="{6E441166-EEE2-4AAC-9046-305AF584C9B3}" name="Period 6" totalsRowFunction="sum" dataDxfId="189" totalsRowDxfId="188"/>
    <tableColumn id="9" xr3:uid="{B99CFE51-82EE-484A-AF34-0501B0E54E76}" name="Period 7" totalsRowFunction="sum" dataDxfId="187" totalsRowDxfId="186"/>
    <tableColumn id="10" xr3:uid="{510F2AC3-4294-4803-AFCD-79AE23441D59}" name="Period 8" totalsRowFunction="sum" dataDxfId="185" totalsRowDxfId="184"/>
    <tableColumn id="11" xr3:uid="{B0DDC8F4-4857-42BA-91E0-DD9D582CBE8A}" name="Period 9" totalsRowFunction="sum" dataDxfId="183" totalsRowDxfId="182"/>
    <tableColumn id="12" xr3:uid="{A894BCEF-D7CB-4FE0-99EC-063196023607}" name="Period 10" totalsRowFunction="sum" dataDxfId="181" totalsRowDxfId="180"/>
    <tableColumn id="13" xr3:uid="{F02AAE16-8B98-4573-A24A-8289A7B47FD8}" name="Period 11" totalsRowFunction="sum" dataDxfId="179" totalsRowDxfId="178"/>
    <tableColumn id="14" xr3:uid="{D7071644-2F0B-4AA8-A401-5D53E528FCCD}" name="Period 12" totalsRowFunction="sum" dataDxfId="177" totalsRowDxfId="176"/>
    <tableColumn id="18" xr3:uid="{FE10FF57-AA58-4EDE-8853-E5FF753C0462}" name="Column3" dataDxfId="175" totalsRowDxfId="174"/>
    <tableColumn id="15" xr3:uid="{94B5971F-C940-4B66-A8FD-41DF01BDCA1F}" name="Total" totalsRowFunction="sum" dataDxfId="173" totalsRowDxfId="172">
      <calculatedColumnFormula>SUM(CashPaidOut[[#This Row],[Period 0]:[Period 12]])</calculatedColumnFormula>
    </tableColumn>
    <tableColumn id="16" xr3:uid="{5007797D-F929-457D-BFA4-07FF60E9A537}" name="Column1" dataDxfId="171" totalsRowDxfId="17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F518B9-3CBC-46B0-8DF2-3CC70DCB8E5F}" name="CashReceipts2" displayName="CashReceipts2" ref="A9:R12" headerRowCount="0" totalsRowCount="1" headerRowDxfId="166" dataDxfId="165" totalsRowDxfId="164">
  <tableColumns count="18">
    <tableColumn id="1" xr3:uid="{079FD9B8-4EF5-4C4E-8127-9E9BDE31DE7D}" name="Items" totalsRowLabel="Yhteensä" headerRowDxfId="163" dataDxfId="162" totalsRowDxfId="161"/>
    <tableColumn id="17" xr3:uid="{58A1B335-74E2-4375-8F08-DA4F1321BCC6}" name="Column2" headerRowDxfId="160" dataDxfId="159" totalsRowDxfId="158"/>
    <tableColumn id="2" xr3:uid="{FC95E08A-CDE3-4BCB-873E-5D7B4147753D}" name="Period 0" totalsRowFunction="sum" dataDxfId="157" totalsRowDxfId="156"/>
    <tableColumn id="3" xr3:uid="{32A8ADAD-43AD-488C-9465-B86F7494A806}" name="Period 1" totalsRowFunction="sum" dataDxfId="155" totalsRowDxfId="154"/>
    <tableColumn id="4" xr3:uid="{9114F6C0-00D9-4B72-A1E8-7073EBFAA264}" name="Period 2" totalsRowFunction="sum" dataDxfId="153" totalsRowDxfId="152"/>
    <tableColumn id="5" xr3:uid="{34F01A0B-CB89-4EEB-85A7-A460EE6EF637}" name="Period 3" totalsRowFunction="sum" dataDxfId="151" totalsRowDxfId="150"/>
    <tableColumn id="6" xr3:uid="{AD6BD4F8-7CB3-482E-8323-F73F1B70019E}" name="Period 4" totalsRowFunction="sum" dataDxfId="149" totalsRowDxfId="148"/>
    <tableColumn id="7" xr3:uid="{2B1952DF-E8D6-44B3-9536-06E20B4C4FE4}" name="Period 5" totalsRowFunction="sum" dataDxfId="147" totalsRowDxfId="146"/>
    <tableColumn id="8" xr3:uid="{E7E2149A-223B-4D25-8A77-E39E832DF753}" name="Period 6" totalsRowFunction="sum" dataDxfId="145" totalsRowDxfId="144"/>
    <tableColumn id="9" xr3:uid="{23D0BC2B-F078-4F19-B362-E2E7D31CC061}" name="Period 7" totalsRowFunction="sum" dataDxfId="143" totalsRowDxfId="142"/>
    <tableColumn id="10" xr3:uid="{D022091C-A9A2-4C0A-BDAA-85BAB158721C}" name="Period 8" totalsRowFunction="sum" dataDxfId="141" totalsRowDxfId="140"/>
    <tableColumn id="11" xr3:uid="{F3D5CC32-A715-4D21-A30C-B429BAB6B352}" name="Period 9" totalsRowFunction="sum" dataDxfId="139" totalsRowDxfId="138"/>
    <tableColumn id="12" xr3:uid="{C864B3D8-44DD-4887-A4E5-F68A0A8E10EA}" name="Period 10" totalsRowFunction="sum" dataDxfId="137" totalsRowDxfId="136"/>
    <tableColumn id="13" xr3:uid="{3C049E34-FFD2-4D80-AA70-2217B6C679CA}" name="Period 11" totalsRowFunction="sum" dataDxfId="135" totalsRowDxfId="134"/>
    <tableColumn id="14" xr3:uid="{6A03AAE1-C88B-4586-9457-81E726C08A0A}" name="Period 12" dataDxfId="133" totalsRowDxfId="132"/>
    <tableColumn id="18" xr3:uid="{7B951021-A336-488C-B1A2-97788EAB6D97}" name="Column3" dataDxfId="131" totalsRowDxfId="130"/>
    <tableColumn id="15" xr3:uid="{ECB4274D-79C4-4D1E-9E57-9C4779576AEA}" name="Total" totalsRowFunction="sum" dataDxfId="129" totalsRowDxfId="128">
      <calculatedColumnFormula>SUM(CashReceipts2[[#This Row],[Period 0]:[Period 12]])</calculatedColumnFormula>
    </tableColumn>
    <tableColumn id="16" xr3:uid="{D9AA3D8C-6983-4E5F-B794-69080265482F}" name="Column1" dataDxfId="127" totalsRowDxfId="126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515F1C-82CC-4C07-A8B4-2FD6B231E1DE}" name="CashPaidOut3" displayName="CashPaidOut3" ref="A16:R40" headerRowCount="0" totalsRowCount="1" headerRowDxfId="125" dataDxfId="124" totalsRowDxfId="123">
  <tableColumns count="18">
    <tableColumn id="1" xr3:uid="{AE44EA2E-C29B-4018-AADE-F72B5F58516B}" name="Items" totalsRowLabel="Kassastamaksu yhteensä" headerRowDxfId="122" dataDxfId="121" totalsRowDxfId="120"/>
    <tableColumn id="17" xr3:uid="{E7990467-1D35-4387-8187-5FAFD6A70F28}" name="Column2" headerRowDxfId="119" dataDxfId="118" totalsRowDxfId="117"/>
    <tableColumn id="2" xr3:uid="{73A34C9F-5CAE-4027-8635-8879CADD28F5}" name="Period 0" totalsRowFunction="sum" dataDxfId="116" totalsRowDxfId="115"/>
    <tableColumn id="3" xr3:uid="{4C510AF9-B48A-4AED-B9CA-9E274B5D7282}" name="Period 1" totalsRowFunction="sum" dataDxfId="114" totalsRowDxfId="113"/>
    <tableColumn id="4" xr3:uid="{7A10B7D1-91FC-4D2D-BD11-E2DCCD9D1233}" name="Period 2" totalsRowFunction="sum" dataDxfId="112" totalsRowDxfId="111"/>
    <tableColumn id="5" xr3:uid="{885144EC-CDFC-4C1C-ACE9-173D0A398621}" name="Period 3" totalsRowFunction="sum" dataDxfId="110" totalsRowDxfId="109"/>
    <tableColumn id="6" xr3:uid="{F57CD576-06C6-468D-8261-538ED170FC7F}" name="Period 4" totalsRowFunction="sum" dataDxfId="108" totalsRowDxfId="107"/>
    <tableColumn id="7" xr3:uid="{CE1624DB-092A-4557-A657-60056515FAE1}" name="Period 5" totalsRowFunction="sum" dataDxfId="106" totalsRowDxfId="105"/>
    <tableColumn id="8" xr3:uid="{49D1A716-96C7-44B2-9377-C1F9CDEE0E04}" name="Period 6" totalsRowFunction="sum" dataDxfId="104" totalsRowDxfId="103"/>
    <tableColumn id="9" xr3:uid="{22EB7798-F7B1-4C11-9052-ECF633955DEF}" name="Period 7" totalsRowFunction="sum" dataDxfId="102" totalsRowDxfId="101"/>
    <tableColumn id="10" xr3:uid="{3A4FDF75-2D34-45C6-B958-28B1C9EDEC6B}" name="Period 8" totalsRowFunction="sum" dataDxfId="100" totalsRowDxfId="99"/>
    <tableColumn id="11" xr3:uid="{04260196-3793-4F29-9870-A7013EFF854A}" name="Period 9" totalsRowFunction="sum" dataDxfId="98" totalsRowDxfId="97"/>
    <tableColumn id="12" xr3:uid="{1ACDD068-52DD-4365-B49B-F466A0A9C15E}" name="Period 10" totalsRowFunction="sum" dataDxfId="96" totalsRowDxfId="95"/>
    <tableColumn id="13" xr3:uid="{C90D0BD8-0E6E-4C31-8078-044D64073772}" name="Period 11" totalsRowFunction="sum" dataDxfId="94" totalsRowDxfId="93"/>
    <tableColumn id="14" xr3:uid="{A31285D6-3096-4D30-A84B-B2978B84C113}" name="Period 12" dataDxfId="92" totalsRowDxfId="91"/>
    <tableColumn id="18" xr3:uid="{01359B59-11D7-452E-9641-38858F285703}" name="Column3" dataDxfId="90" totalsRowDxfId="89"/>
    <tableColumn id="15" xr3:uid="{680B5432-D0BB-47B6-89F1-B415D3BC3C42}" name="Total" totalsRowFunction="sum" dataDxfId="88" totalsRowDxfId="87">
      <calculatedColumnFormula>SUM(CashPaidOut3[[#This Row],[Period 0]:[Period 12]])</calculatedColumnFormula>
    </tableColumn>
    <tableColumn id="16" xr3:uid="{C3826AAA-EA95-4EF9-81F7-334515F46C57}" name="Column1" dataDxfId="86" totalsRowDxfId="85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AD76AD-6734-4F1F-AEB9-89EE5CE3C0DC}" name="CashReceipts24" displayName="CashReceipts24" ref="A9:R12" headerRowCount="0" totalsRowCount="1" headerRowDxfId="81" dataDxfId="80" totalsRowDxfId="79">
  <tableColumns count="18">
    <tableColumn id="1" xr3:uid="{098BB02D-8DC2-4365-958D-5FD5C944E1D5}" name="Items" totalsRowLabel="Yhteensä" headerRowDxfId="78" dataDxfId="77" totalsRowDxfId="76"/>
    <tableColumn id="17" xr3:uid="{548CEED2-D538-4937-AE52-F9B8DCFE3C14}" name="Column2" headerRowDxfId="75" dataDxfId="74" totalsRowDxfId="73"/>
    <tableColumn id="2" xr3:uid="{1235B2B1-1680-4CAB-A78C-F1531360379B}" name="Period 0" totalsRowFunction="sum" dataDxfId="72" totalsRowDxfId="71"/>
    <tableColumn id="3" xr3:uid="{506D9E49-24B7-4BB3-B6FE-2B7134185ED3}" name="Period 1" totalsRowFunction="sum" dataDxfId="70" totalsRowDxfId="69"/>
    <tableColumn id="4" xr3:uid="{BE14EC96-264D-4190-9A18-D75CEB2308BB}" name="Period 2" totalsRowFunction="sum" dataDxfId="68" totalsRowDxfId="67"/>
    <tableColumn id="5" xr3:uid="{857BE6C7-1594-4A68-BF3B-643AC95667DF}" name="Period 3" totalsRowFunction="sum" dataDxfId="66" totalsRowDxfId="65"/>
    <tableColumn id="6" xr3:uid="{29054D7E-C481-4D79-8EC8-D6675D69AB85}" name="Period 4" totalsRowFunction="sum" dataDxfId="64" totalsRowDxfId="63"/>
    <tableColumn id="7" xr3:uid="{2245B2F7-0518-4E1A-8631-F7285A1EC05C}" name="Period 5" totalsRowFunction="sum" dataDxfId="62" totalsRowDxfId="61"/>
    <tableColumn id="8" xr3:uid="{B8AFDE1D-1160-4CC3-AAF7-8421198E9447}" name="Period 6" totalsRowFunction="sum" dataDxfId="60" totalsRowDxfId="59"/>
    <tableColumn id="9" xr3:uid="{89BA6FEE-8861-430B-9666-7169B32A8E07}" name="Period 7" totalsRowFunction="sum" dataDxfId="58" totalsRowDxfId="57"/>
    <tableColumn id="10" xr3:uid="{2B1AAF11-2FAB-4035-A4F8-6B2C99D9B5B0}" name="Period 8" totalsRowFunction="sum" dataDxfId="56" totalsRowDxfId="55"/>
    <tableColumn id="11" xr3:uid="{D7EF9C3E-D3C7-42BC-9FC9-1907957535C0}" name="Period 9" totalsRowFunction="sum" dataDxfId="54" totalsRowDxfId="53"/>
    <tableColumn id="12" xr3:uid="{5D35BD42-7961-4208-A0B7-3FD59AF18621}" name="Period 10" totalsRowFunction="sum" dataDxfId="52" totalsRowDxfId="51"/>
    <tableColumn id="13" xr3:uid="{F9B3E864-E95F-483C-968F-91EE7E5D3824}" name="Period 11" totalsRowFunction="sum" dataDxfId="50" totalsRowDxfId="49"/>
    <tableColumn id="14" xr3:uid="{475A1540-BF63-4527-B1E4-4F030B558B8D}" name="Period 12" dataDxfId="48" totalsRowDxfId="47"/>
    <tableColumn id="18" xr3:uid="{AF6F4E16-AF86-44CB-88FA-3205408898E7}" name="Column3" dataDxfId="46" totalsRowDxfId="45"/>
    <tableColumn id="15" xr3:uid="{0C5F2D59-07B0-4E07-A301-81136A28E0D0}" name="Total" totalsRowFunction="sum" dataDxfId="44" totalsRowDxfId="43">
      <calculatedColumnFormula>SUM(CashReceipts24[[#This Row],[Period 0]:[Period 12]])</calculatedColumnFormula>
    </tableColumn>
    <tableColumn id="16" xr3:uid="{3BA23F3B-BCB0-4946-AD72-8A29CF73E814}" name="Column1" dataDxfId="42" totalsRowDxfId="4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D0A82D-87CE-41C2-86CD-76B3CB996CC1}" name="CashPaidOut35" displayName="CashPaidOut35" ref="A16:R40" headerRowCount="0" totalsRowCount="1" headerRowDxfId="40" dataDxfId="39" totalsRowDxfId="38">
  <tableColumns count="18">
    <tableColumn id="1" xr3:uid="{EA7DEF4B-294B-4A94-ADEE-6524AD324826}" name="Items" totalsRowLabel="Kassastamaksu yhteensä" headerRowDxfId="37" dataDxfId="36" totalsRowDxfId="35"/>
    <tableColumn id="17" xr3:uid="{581909E8-C727-4FDE-AFA9-57B31A4E373B}" name="Column2" headerRowDxfId="34" dataDxfId="33" totalsRowDxfId="32"/>
    <tableColumn id="2" xr3:uid="{4753C096-7F1C-42D9-9FF4-F7A8BE0E399C}" name="Period 0" totalsRowFunction="sum" dataDxfId="31" totalsRowDxfId="30"/>
    <tableColumn id="3" xr3:uid="{370CE099-05E0-42BD-94F8-C7AD7D53EA35}" name="Period 1" totalsRowFunction="sum" dataDxfId="29" totalsRowDxfId="28"/>
    <tableColumn id="4" xr3:uid="{73241B9E-8113-4596-A92C-D94D1608CD41}" name="Period 2" totalsRowFunction="sum" dataDxfId="27" totalsRowDxfId="26"/>
    <tableColumn id="5" xr3:uid="{5765B28A-A1E5-4A57-9995-8B89058B906F}" name="Period 3" totalsRowFunction="sum" dataDxfId="25" totalsRowDxfId="24"/>
    <tableColumn id="6" xr3:uid="{52FD8526-B908-4CE8-8014-A4C7ED11F9D7}" name="Period 4" totalsRowFunction="sum" dataDxfId="23" totalsRowDxfId="22"/>
    <tableColumn id="7" xr3:uid="{72DE5BF0-6EFF-40A6-8655-28C6EEB1ACEF}" name="Period 5" totalsRowFunction="sum" dataDxfId="21" totalsRowDxfId="20"/>
    <tableColumn id="8" xr3:uid="{6E59B2F8-941A-411E-B75D-6B4E2A29878F}" name="Period 6" totalsRowFunction="sum" dataDxfId="19" totalsRowDxfId="18"/>
    <tableColumn id="9" xr3:uid="{0750A592-0E94-47F5-B534-A585ACF5478E}" name="Period 7" totalsRowFunction="sum" dataDxfId="17" totalsRowDxfId="16"/>
    <tableColumn id="10" xr3:uid="{ABA6729F-A47C-4DA6-8054-FCBC65CA3E90}" name="Period 8" totalsRowFunction="sum" dataDxfId="15" totalsRowDxfId="14"/>
    <tableColumn id="11" xr3:uid="{91E9DCDA-8EE5-4AFC-A9C3-6F61FDFEAD8A}" name="Period 9" totalsRowFunction="sum" dataDxfId="13" totalsRowDxfId="12"/>
    <tableColumn id="12" xr3:uid="{367D3F3F-D1D0-4246-928B-D8FB94CF4DD3}" name="Period 10" totalsRowFunction="sum" dataDxfId="11" totalsRowDxfId="10"/>
    <tableColumn id="13" xr3:uid="{56C6749A-D27C-49A9-B3C5-1F47BCFB9AA3}" name="Period 11" totalsRowFunction="sum" dataDxfId="9" totalsRowDxfId="8"/>
    <tableColumn id="14" xr3:uid="{6F535C33-3833-4293-A170-0016FBDE304C}" name="Period 12" dataDxfId="7" totalsRowDxfId="6"/>
    <tableColumn id="18" xr3:uid="{F79031B7-BA32-4B4E-93CD-EA89EED43465}" name="Column3" dataDxfId="5" totalsRowDxfId="4"/>
    <tableColumn id="15" xr3:uid="{85D02DBC-D5AB-4710-AB06-15E1E866CA4E}" name="Total" totalsRowFunction="sum" dataDxfId="3" totalsRowDxfId="2">
      <calculatedColumnFormula>SUM(CashPaidOut35[[#This Row],[Period 0]:[Period 12]])</calculatedColumnFormula>
    </tableColumn>
    <tableColumn id="16" xr3:uid="{18175435-4CCE-432D-B4F2-93D1E2E7881F}" name="Column1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4:P94"/>
  <sheetViews>
    <sheetView showGridLines="0" tabSelected="1" zoomScaleNormal="100" workbookViewId="0">
      <selection activeCell="K7" sqref="K7"/>
    </sheetView>
  </sheetViews>
  <sheetFormatPr baseColWidth="10" defaultColWidth="8.83203125" defaultRowHeight="15" x14ac:dyDescent="0.2"/>
  <cols>
    <col min="3" max="3" width="16.33203125" customWidth="1"/>
    <col min="4" max="4" width="46.6640625" customWidth="1"/>
    <col min="6" max="6" width="1.5" customWidth="1"/>
    <col min="15" max="15" width="9.5" customWidth="1"/>
  </cols>
  <sheetData>
    <row r="4" spans="1:16" ht="19" x14ac:dyDescent="0.25">
      <c r="A4" s="229" t="s">
        <v>205</v>
      </c>
      <c r="B4" s="137"/>
      <c r="C4" s="137"/>
      <c r="D4" s="27"/>
      <c r="E4" s="27"/>
      <c r="F4" s="27"/>
      <c r="G4" s="27"/>
      <c r="H4" s="25"/>
      <c r="I4" s="25"/>
      <c r="J4" s="25"/>
      <c r="K4" s="25"/>
      <c r="L4" s="25"/>
      <c r="M4" s="25"/>
      <c r="N4" s="25"/>
      <c r="O4" s="25"/>
      <c r="P4" s="25"/>
    </row>
    <row r="5" spans="1:16" ht="16" x14ac:dyDescent="0.2">
      <c r="A5" s="27" t="s">
        <v>100</v>
      </c>
      <c r="B5" s="27"/>
      <c r="C5" s="27"/>
      <c r="D5" s="27"/>
      <c r="E5" s="27"/>
      <c r="F5" s="27"/>
      <c r="G5" s="27"/>
      <c r="H5" s="25"/>
      <c r="I5" s="25"/>
      <c r="J5" s="25"/>
      <c r="K5" s="25"/>
      <c r="L5" s="25"/>
      <c r="M5" s="25"/>
      <c r="N5" s="25"/>
      <c r="O5" s="25"/>
      <c r="P5" s="25"/>
    </row>
    <row r="6" spans="1:16" ht="16" x14ac:dyDescent="0.2">
      <c r="A6" s="27" t="s">
        <v>144</v>
      </c>
      <c r="B6" s="27"/>
      <c r="C6" s="27"/>
      <c r="D6" s="27"/>
      <c r="E6" s="27"/>
      <c r="F6" s="27"/>
      <c r="G6" s="27"/>
      <c r="H6" s="25"/>
      <c r="I6" s="25"/>
      <c r="J6" s="25"/>
      <c r="K6" s="25"/>
      <c r="L6" s="25"/>
      <c r="M6" s="25"/>
      <c r="N6" s="25"/>
      <c r="O6" s="25"/>
      <c r="P6" s="25"/>
    </row>
    <row r="7" spans="1:16" ht="16" x14ac:dyDescent="0.2">
      <c r="A7" s="27" t="s">
        <v>101</v>
      </c>
      <c r="B7" s="27"/>
      <c r="C7" s="27"/>
      <c r="D7" s="27"/>
      <c r="E7" s="27"/>
      <c r="F7" s="27"/>
      <c r="G7" s="27"/>
      <c r="H7" s="25"/>
      <c r="I7" s="25"/>
      <c r="J7" s="25"/>
      <c r="K7" s="25"/>
      <c r="L7" s="25"/>
      <c r="M7" s="25"/>
      <c r="N7" s="25"/>
      <c r="O7" s="25"/>
      <c r="P7" s="25"/>
    </row>
    <row r="8" spans="1:16" ht="16" x14ac:dyDescent="0.2">
      <c r="A8" s="27" t="s">
        <v>102</v>
      </c>
      <c r="B8" s="27"/>
      <c r="C8" s="27"/>
      <c r="D8" s="27"/>
      <c r="E8" s="27"/>
      <c r="F8" s="27"/>
      <c r="G8" s="27"/>
      <c r="H8" s="25"/>
      <c r="I8" s="25"/>
      <c r="J8" s="25"/>
      <c r="K8" s="25"/>
      <c r="L8" s="25"/>
      <c r="M8" s="25"/>
      <c r="N8" s="25"/>
      <c r="O8" s="25"/>
      <c r="P8" s="25"/>
    </row>
    <row r="9" spans="1:16" ht="16" x14ac:dyDescent="0.2">
      <c r="A9" s="27" t="s">
        <v>103</v>
      </c>
      <c r="B9" s="27"/>
      <c r="C9" s="27"/>
      <c r="D9" s="27"/>
      <c r="E9" s="27"/>
      <c r="F9" s="27"/>
      <c r="G9" s="27"/>
      <c r="H9" s="25"/>
      <c r="I9" s="25"/>
      <c r="J9" s="25"/>
      <c r="K9" s="25"/>
      <c r="L9" s="25"/>
      <c r="M9" s="25"/>
      <c r="N9" s="25"/>
      <c r="O9" s="25"/>
      <c r="P9" s="25"/>
    </row>
    <row r="10" spans="1:16" ht="16" x14ac:dyDescent="0.2">
      <c r="A10" s="27" t="s">
        <v>104</v>
      </c>
      <c r="B10" s="27"/>
      <c r="C10" s="27"/>
      <c r="D10" s="27"/>
      <c r="E10" s="27"/>
      <c r="F10" s="27"/>
      <c r="G10" s="27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6" x14ac:dyDescent="0.2">
      <c r="A11" s="27"/>
      <c r="B11" s="27"/>
      <c r="C11" s="27"/>
      <c r="D11" s="27"/>
      <c r="E11" s="27"/>
      <c r="F11" s="27"/>
      <c r="G11" s="27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7" thickBot="1" x14ac:dyDescent="0.25">
      <c r="A12" s="28" t="s">
        <v>105</v>
      </c>
      <c r="B12" s="28"/>
      <c r="C12" s="28"/>
      <c r="D12" s="28"/>
      <c r="E12" s="29" t="s">
        <v>13</v>
      </c>
      <c r="F12" s="27"/>
      <c r="G12" s="27"/>
      <c r="H12" s="42" t="s">
        <v>243</v>
      </c>
      <c r="I12" s="42"/>
      <c r="J12" s="42"/>
      <c r="K12" s="42"/>
      <c r="L12" s="25"/>
      <c r="M12" s="25"/>
      <c r="N12" s="25"/>
      <c r="O12" s="25"/>
      <c r="P12" s="25"/>
    </row>
    <row r="13" spans="1:16" ht="17" thickBot="1" x14ac:dyDescent="0.25">
      <c r="A13" s="27" t="s">
        <v>106</v>
      </c>
      <c r="B13" s="27"/>
      <c r="C13" s="27"/>
      <c r="D13" s="27" t="s">
        <v>107</v>
      </c>
      <c r="E13" s="30"/>
      <c r="F13" s="27"/>
      <c r="G13" s="27"/>
      <c r="H13" s="25"/>
      <c r="I13" s="25"/>
      <c r="J13" s="25"/>
      <c r="K13" s="25"/>
      <c r="L13" s="25"/>
      <c r="M13" s="25"/>
      <c r="N13" s="25"/>
      <c r="O13" s="37"/>
      <c r="P13" s="37"/>
    </row>
    <row r="14" spans="1:16" ht="16" x14ac:dyDescent="0.2">
      <c r="A14" s="27"/>
      <c r="B14" s="27"/>
      <c r="C14" s="27"/>
      <c r="D14" s="27" t="s">
        <v>182</v>
      </c>
      <c r="E14" s="262"/>
      <c r="G14" s="282" t="s">
        <v>183</v>
      </c>
      <c r="H14" s="274"/>
      <c r="I14" s="274"/>
      <c r="J14" s="274"/>
      <c r="K14" s="274"/>
      <c r="L14" s="274"/>
      <c r="M14" s="274"/>
      <c r="N14" s="274"/>
      <c r="O14" s="275"/>
      <c r="P14" s="37"/>
    </row>
    <row r="15" spans="1:16" ht="17" thickBot="1" x14ac:dyDescent="0.25">
      <c r="A15" s="27"/>
      <c r="B15" s="27"/>
      <c r="C15" s="27"/>
      <c r="D15" s="27" t="s">
        <v>108</v>
      </c>
      <c r="E15" s="31"/>
      <c r="G15" s="283" t="s">
        <v>140</v>
      </c>
      <c r="H15" s="280"/>
      <c r="I15" s="280"/>
      <c r="J15" s="280"/>
      <c r="K15" s="280"/>
      <c r="L15" s="280"/>
      <c r="M15" s="280"/>
      <c r="N15" s="280"/>
      <c r="O15" s="281"/>
      <c r="P15" s="37"/>
    </row>
    <row r="16" spans="1:16" ht="16" x14ac:dyDescent="0.2">
      <c r="A16" s="27"/>
      <c r="B16" s="27"/>
      <c r="C16" s="27"/>
      <c r="D16" s="27" t="s">
        <v>109</v>
      </c>
      <c r="E16" s="262"/>
      <c r="G16" s="282" t="s">
        <v>134</v>
      </c>
      <c r="H16" s="274"/>
      <c r="I16" s="274"/>
      <c r="J16" s="274"/>
      <c r="K16" s="274"/>
      <c r="L16" s="274"/>
      <c r="M16" s="274"/>
      <c r="N16" s="274"/>
      <c r="O16" s="275"/>
      <c r="P16" s="37"/>
    </row>
    <row r="17" spans="1:16" ht="16" x14ac:dyDescent="0.2">
      <c r="A17" s="27"/>
      <c r="B17" s="27"/>
      <c r="C17" s="27"/>
      <c r="D17" s="27" t="s">
        <v>110</v>
      </c>
      <c r="E17" s="31"/>
      <c r="G17" s="284" t="s">
        <v>141</v>
      </c>
      <c r="H17" s="266"/>
      <c r="I17" s="266"/>
      <c r="J17" s="266"/>
      <c r="K17" s="266"/>
      <c r="L17" s="266"/>
      <c r="M17" s="266"/>
      <c r="N17" s="266"/>
      <c r="O17" s="277"/>
      <c r="P17" s="37"/>
    </row>
    <row r="18" spans="1:16" ht="17" thickBot="1" x14ac:dyDescent="0.25">
      <c r="A18" s="27"/>
      <c r="B18" s="27"/>
      <c r="C18" s="27"/>
      <c r="D18" s="27" t="s">
        <v>111</v>
      </c>
      <c r="E18" s="31"/>
      <c r="G18" s="283" t="s">
        <v>142</v>
      </c>
      <c r="H18" s="280"/>
      <c r="I18" s="280"/>
      <c r="J18" s="280"/>
      <c r="K18" s="280"/>
      <c r="L18" s="280"/>
      <c r="M18" s="280"/>
      <c r="N18" s="280"/>
      <c r="O18" s="281"/>
      <c r="P18" s="37"/>
    </row>
    <row r="19" spans="1:16" ht="16" x14ac:dyDescent="0.2">
      <c r="A19" s="27"/>
      <c r="B19" s="27"/>
      <c r="C19" s="27"/>
      <c r="D19" s="27" t="s">
        <v>112</v>
      </c>
      <c r="E19" s="31"/>
      <c r="F19" s="27"/>
      <c r="G19" s="27"/>
      <c r="H19" s="25"/>
      <c r="I19" s="25"/>
      <c r="J19" s="25"/>
      <c r="K19" s="25"/>
      <c r="L19" s="25"/>
      <c r="M19" s="25"/>
      <c r="N19" s="25"/>
      <c r="O19" s="37"/>
      <c r="P19" s="37"/>
    </row>
    <row r="20" spans="1:16" ht="16" x14ac:dyDescent="0.2">
      <c r="A20" s="27"/>
      <c r="B20" s="27"/>
      <c r="C20" s="27"/>
      <c r="D20" s="27" t="s">
        <v>113</v>
      </c>
      <c r="E20" s="31"/>
      <c r="F20" s="27"/>
      <c r="G20" s="27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6" x14ac:dyDescent="0.2">
      <c r="A21" s="27"/>
      <c r="B21" s="27"/>
      <c r="C21" s="27"/>
      <c r="D21" s="27" t="s">
        <v>143</v>
      </c>
      <c r="E21" s="31"/>
      <c r="F21" s="27"/>
      <c r="G21" s="27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" x14ac:dyDescent="0.2">
      <c r="A22" s="27"/>
      <c r="B22" s="27"/>
      <c r="C22" s="27"/>
      <c r="D22" s="27" t="s">
        <v>114</v>
      </c>
      <c r="E22" s="31"/>
      <c r="F22" s="27"/>
      <c r="G22" s="27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" x14ac:dyDescent="0.2">
      <c r="A23" s="27" t="s">
        <v>115</v>
      </c>
      <c r="B23" s="27"/>
      <c r="C23" s="27"/>
      <c r="D23" s="27" t="s">
        <v>116</v>
      </c>
      <c r="E23" s="31"/>
      <c r="F23" s="27"/>
      <c r="G23" s="27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6" x14ac:dyDescent="0.2">
      <c r="A24" s="27"/>
      <c r="B24" s="27"/>
      <c r="C24" s="27"/>
      <c r="D24" s="27" t="s">
        <v>117</v>
      </c>
      <c r="E24" s="31"/>
      <c r="F24" s="27"/>
      <c r="G24" s="27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6" x14ac:dyDescent="0.2">
      <c r="A25" s="27"/>
      <c r="B25" s="27"/>
      <c r="C25" s="27"/>
      <c r="D25" s="27" t="s">
        <v>118</v>
      </c>
      <c r="E25" s="31"/>
      <c r="F25" s="27"/>
      <c r="G25" s="27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6" x14ac:dyDescent="0.2">
      <c r="A26" s="27"/>
      <c r="B26" s="27"/>
      <c r="C26" s="27"/>
      <c r="D26" s="27" t="s">
        <v>119</v>
      </c>
      <c r="E26" s="31"/>
      <c r="F26" s="27"/>
      <c r="G26" s="27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6" x14ac:dyDescent="0.2">
      <c r="A27" s="27"/>
      <c r="B27" s="27"/>
      <c r="C27" s="27"/>
      <c r="D27" s="27" t="s">
        <v>120</v>
      </c>
      <c r="E27" s="31"/>
      <c r="F27" s="27"/>
      <c r="G27" s="27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6" x14ac:dyDescent="0.2">
      <c r="A28" s="27"/>
      <c r="B28" s="27"/>
      <c r="C28" s="27"/>
      <c r="D28" s="27" t="s">
        <v>148</v>
      </c>
      <c r="E28" s="31"/>
      <c r="F28" s="27"/>
      <c r="G28" s="27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6" x14ac:dyDescent="0.2">
      <c r="A29" s="27" t="s">
        <v>121</v>
      </c>
      <c r="B29" s="27"/>
      <c r="C29" s="27"/>
      <c r="D29" s="27" t="s">
        <v>122</v>
      </c>
      <c r="E29" s="31"/>
      <c r="F29" s="27"/>
      <c r="G29" s="27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7" thickBot="1" x14ac:dyDescent="0.25">
      <c r="A30" s="32"/>
      <c r="B30" s="32"/>
      <c r="C30" s="32"/>
      <c r="D30" s="32" t="s">
        <v>123</v>
      </c>
      <c r="E30" s="33"/>
      <c r="F30" s="27"/>
      <c r="G30" s="27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7" thickBot="1" x14ac:dyDescent="0.25">
      <c r="A31" s="28" t="s">
        <v>124</v>
      </c>
      <c r="B31" s="28"/>
      <c r="C31" s="28"/>
      <c r="D31" s="28"/>
      <c r="E31" s="34">
        <f>SUM(E13:E30)</f>
        <v>0</v>
      </c>
      <c r="F31" s="27"/>
      <c r="G31" s="27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6" x14ac:dyDescent="0.2">
      <c r="A32" s="27"/>
      <c r="B32" s="27"/>
      <c r="C32" s="27"/>
      <c r="D32" s="27"/>
      <c r="E32" s="27"/>
      <c r="F32" s="27"/>
      <c r="G32" s="27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7" thickBot="1" x14ac:dyDescent="0.25">
      <c r="A33" s="28" t="s">
        <v>125</v>
      </c>
      <c r="B33" s="28"/>
      <c r="C33" s="28"/>
      <c r="D33" s="28"/>
      <c r="E33" s="29" t="s">
        <v>13</v>
      </c>
      <c r="F33" s="27"/>
      <c r="G33" s="27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6" x14ac:dyDescent="0.2">
      <c r="A34" s="27" t="s">
        <v>126</v>
      </c>
      <c r="B34" s="27"/>
      <c r="C34" s="27"/>
      <c r="D34" s="27" t="s">
        <v>127</v>
      </c>
      <c r="E34" s="30">
        <f xml:space="preserve"> E16</f>
        <v>0</v>
      </c>
      <c r="F34" s="27"/>
      <c r="G34" s="27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6" x14ac:dyDescent="0.2">
      <c r="A35" s="27"/>
      <c r="B35" s="27"/>
      <c r="C35" s="27"/>
      <c r="D35" s="27" t="s">
        <v>128</v>
      </c>
      <c r="E35" s="31"/>
      <c r="F35" s="27"/>
      <c r="G35" s="27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6" x14ac:dyDescent="0.2">
      <c r="A36" s="27"/>
      <c r="B36" s="27"/>
      <c r="C36" s="27"/>
      <c r="D36" s="27" t="s">
        <v>176</v>
      </c>
      <c r="E36" s="31"/>
      <c r="F36" s="27"/>
      <c r="G36" s="27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6" x14ac:dyDescent="0.2">
      <c r="A37" s="27"/>
      <c r="B37" s="27"/>
      <c r="C37" s="27"/>
      <c r="D37" s="27"/>
      <c r="E37" s="31"/>
      <c r="F37" s="27"/>
      <c r="G37" s="27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6" x14ac:dyDescent="0.2">
      <c r="A38" s="27" t="s">
        <v>129</v>
      </c>
      <c r="B38" s="27"/>
      <c r="C38" s="27"/>
      <c r="D38" s="27" t="s">
        <v>130</v>
      </c>
      <c r="E38" s="31"/>
      <c r="F38" s="27"/>
      <c r="G38" s="27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6" x14ac:dyDescent="0.2">
      <c r="A39" s="27"/>
      <c r="B39" s="27"/>
      <c r="C39" s="27"/>
      <c r="D39" s="27" t="s">
        <v>131</v>
      </c>
      <c r="E39" s="31"/>
      <c r="F39" s="27"/>
      <c r="G39" s="27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6" x14ac:dyDescent="0.2">
      <c r="A40" s="27"/>
      <c r="B40" s="27"/>
      <c r="C40" s="27"/>
      <c r="D40" s="27" t="s">
        <v>135</v>
      </c>
      <c r="E40" s="31"/>
      <c r="F40" s="27"/>
      <c r="G40" s="27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7" thickBot="1" x14ac:dyDescent="0.25">
      <c r="A41" s="32"/>
      <c r="B41" s="32"/>
      <c r="C41" s="32"/>
      <c r="D41" s="32" t="s">
        <v>136</v>
      </c>
      <c r="E41" s="33"/>
      <c r="F41" s="27"/>
      <c r="G41" s="27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7" thickBot="1" x14ac:dyDescent="0.25">
      <c r="A42" s="28" t="s">
        <v>132</v>
      </c>
      <c r="B42" s="28"/>
      <c r="C42" s="28"/>
      <c r="D42" s="28"/>
      <c r="E42" s="34">
        <f>SUM(E34:E41)</f>
        <v>0</v>
      </c>
      <c r="F42" s="27"/>
      <c r="G42" s="27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6" x14ac:dyDescent="0.2">
      <c r="A43" s="26"/>
      <c r="B43" s="26"/>
      <c r="C43" s="26"/>
      <c r="D43" s="26"/>
      <c r="E43" s="39"/>
      <c r="F43" s="27"/>
      <c r="G43" s="27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7" thickBot="1" x14ac:dyDescent="0.25">
      <c r="A44" s="27" t="s">
        <v>202</v>
      </c>
      <c r="B44" s="27"/>
      <c r="C44" s="27"/>
      <c r="D44" s="27"/>
      <c r="E44" s="40"/>
      <c r="F44" s="27"/>
      <c r="G44" s="27"/>
      <c r="H44" s="25"/>
      <c r="I44" s="25"/>
      <c r="J44" s="25"/>
      <c r="K44" s="25"/>
      <c r="L44" s="25"/>
      <c r="M44" s="25"/>
      <c r="N44" s="25"/>
      <c r="O44" s="25"/>
      <c r="P44" s="37"/>
    </row>
    <row r="45" spans="1:16" ht="17" thickBot="1" x14ac:dyDescent="0.25">
      <c r="A45" s="27"/>
      <c r="B45" s="27"/>
      <c r="C45" s="27"/>
      <c r="D45" s="36" t="s">
        <v>133</v>
      </c>
      <c r="E45" s="270">
        <f xml:space="preserve"> E42-E31</f>
        <v>0</v>
      </c>
      <c r="G45" s="272" t="s">
        <v>137</v>
      </c>
      <c r="H45" s="273"/>
      <c r="I45" s="274"/>
      <c r="J45" s="274"/>
      <c r="K45" s="274"/>
      <c r="L45" s="274"/>
      <c r="M45" s="274"/>
      <c r="N45" s="274"/>
      <c r="O45" s="275"/>
      <c r="P45" s="38"/>
    </row>
    <row r="46" spans="1:16" ht="16" x14ac:dyDescent="0.2">
      <c r="A46" s="41" t="s">
        <v>61</v>
      </c>
      <c r="B46" s="41"/>
      <c r="C46" s="27"/>
      <c r="D46" s="27"/>
      <c r="E46" s="27"/>
      <c r="G46" s="276" t="s">
        <v>138</v>
      </c>
      <c r="H46" s="271"/>
      <c r="I46" s="266"/>
      <c r="J46" s="266"/>
      <c r="K46" s="266"/>
      <c r="L46" s="266"/>
      <c r="M46" s="266"/>
      <c r="N46" s="266"/>
      <c r="O46" s="277"/>
      <c r="P46" s="38"/>
    </row>
    <row r="47" spans="1:16" ht="17" thickBot="1" x14ac:dyDescent="0.25">
      <c r="A47" s="27"/>
      <c r="B47" s="27"/>
      <c r="C47" s="27"/>
      <c r="D47" s="27"/>
      <c r="E47" s="27"/>
      <c r="G47" s="278" t="s">
        <v>139</v>
      </c>
      <c r="H47" s="279"/>
      <c r="I47" s="280"/>
      <c r="J47" s="280"/>
      <c r="K47" s="280"/>
      <c r="L47" s="280"/>
      <c r="M47" s="280"/>
      <c r="N47" s="280"/>
      <c r="O47" s="281"/>
      <c r="P47" s="38"/>
    </row>
    <row r="48" spans="1:16" ht="16" x14ac:dyDescent="0.2">
      <c r="A48" s="27"/>
      <c r="B48" s="27"/>
      <c r="C48" s="27"/>
      <c r="D48" s="27"/>
      <c r="E48" s="27"/>
      <c r="F48" s="27"/>
      <c r="G48" s="27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6" x14ac:dyDescent="0.2">
      <c r="A49" s="27"/>
      <c r="B49" s="27"/>
      <c r="C49" s="27"/>
      <c r="D49" s="27"/>
      <c r="E49" s="27"/>
      <c r="F49" s="27"/>
      <c r="G49" s="27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6" x14ac:dyDescent="0.2">
      <c r="A50" s="2"/>
      <c r="B50" s="2"/>
      <c r="C50" s="2"/>
      <c r="D50" s="2"/>
      <c r="E50" s="2"/>
      <c r="F50" s="2"/>
      <c r="G50" s="2"/>
    </row>
    <row r="51" spans="1:16" ht="16" x14ac:dyDescent="0.2">
      <c r="A51" s="2"/>
      <c r="B51" s="2"/>
      <c r="C51" s="2"/>
      <c r="D51" s="2"/>
      <c r="E51" s="2"/>
      <c r="F51" s="2"/>
      <c r="G51" s="2"/>
    </row>
    <row r="52" spans="1:16" ht="16" x14ac:dyDescent="0.2">
      <c r="A52" s="2"/>
      <c r="B52" s="2"/>
      <c r="C52" s="2"/>
      <c r="D52" s="2"/>
      <c r="E52" s="2"/>
      <c r="F52" s="2"/>
      <c r="G52" s="2"/>
    </row>
    <row r="53" spans="1:16" ht="16" x14ac:dyDescent="0.2">
      <c r="A53" s="2"/>
      <c r="B53" s="2"/>
      <c r="C53" s="2"/>
      <c r="D53" s="2"/>
      <c r="E53" s="2"/>
      <c r="F53" s="2"/>
      <c r="G53" s="2"/>
    </row>
    <row r="54" spans="1:16" ht="16" x14ac:dyDescent="0.2">
      <c r="A54" s="2"/>
      <c r="B54" s="2"/>
      <c r="C54" s="2"/>
      <c r="D54" s="2"/>
      <c r="E54" s="2"/>
      <c r="F54" s="2"/>
      <c r="G54" s="2"/>
    </row>
    <row r="55" spans="1:16" ht="16" x14ac:dyDescent="0.2">
      <c r="A55" s="2"/>
      <c r="B55" s="2"/>
      <c r="C55" s="2"/>
      <c r="D55" s="2"/>
      <c r="E55" s="2"/>
      <c r="F55" s="2"/>
      <c r="G55" s="2"/>
    </row>
    <row r="56" spans="1:16" ht="16" x14ac:dyDescent="0.2">
      <c r="A56" s="2"/>
      <c r="B56" s="2"/>
      <c r="C56" s="2"/>
      <c r="D56" s="2"/>
      <c r="E56" s="2"/>
      <c r="F56" s="2"/>
      <c r="G56" s="2"/>
    </row>
    <row r="57" spans="1:16" ht="16" x14ac:dyDescent="0.2">
      <c r="A57" s="2"/>
      <c r="B57" s="2"/>
      <c r="C57" s="2"/>
      <c r="D57" s="2"/>
      <c r="E57" s="2"/>
      <c r="F57" s="2"/>
      <c r="G57" s="2"/>
    </row>
    <row r="58" spans="1:16" ht="16" x14ac:dyDescent="0.2">
      <c r="A58" s="2"/>
      <c r="B58" s="2"/>
      <c r="C58" s="2"/>
      <c r="D58" s="2"/>
      <c r="E58" s="2"/>
      <c r="F58" s="2"/>
      <c r="G58" s="2"/>
    </row>
    <row r="59" spans="1:16" ht="16" x14ac:dyDescent="0.2">
      <c r="A59" s="2"/>
      <c r="B59" s="2"/>
      <c r="C59" s="2"/>
      <c r="D59" s="2"/>
      <c r="E59" s="2"/>
      <c r="F59" s="2"/>
      <c r="G59" s="2"/>
    </row>
    <row r="60" spans="1:16" ht="16" x14ac:dyDescent="0.2">
      <c r="A60" s="2"/>
      <c r="B60" s="2"/>
      <c r="C60" s="2"/>
      <c r="D60" s="2"/>
      <c r="E60" s="2"/>
      <c r="F60" s="2"/>
      <c r="G60" s="2"/>
    </row>
    <row r="61" spans="1:16" ht="16" x14ac:dyDescent="0.2">
      <c r="A61" s="2"/>
      <c r="B61" s="2"/>
      <c r="C61" s="2"/>
      <c r="D61" s="2"/>
      <c r="E61" s="2"/>
      <c r="F61" s="2"/>
      <c r="G61" s="2"/>
    </row>
    <row r="62" spans="1:16" ht="16" x14ac:dyDescent="0.2">
      <c r="A62" s="2"/>
      <c r="B62" s="2"/>
      <c r="C62" s="2"/>
      <c r="D62" s="2"/>
      <c r="E62" s="2"/>
      <c r="F62" s="2"/>
      <c r="G62" s="2"/>
    </row>
    <row r="63" spans="1:16" ht="16" x14ac:dyDescent="0.2">
      <c r="A63" s="2"/>
      <c r="B63" s="2"/>
      <c r="C63" s="2"/>
      <c r="D63" s="2"/>
      <c r="E63" s="2"/>
      <c r="F63" s="2"/>
      <c r="G63" s="2"/>
    </row>
    <row r="64" spans="1:16" ht="16" x14ac:dyDescent="0.2">
      <c r="A64" s="2"/>
      <c r="B64" s="2"/>
      <c r="C64" s="2"/>
      <c r="D64" s="2"/>
      <c r="E64" s="2"/>
      <c r="F64" s="2"/>
      <c r="G64" s="2"/>
    </row>
    <row r="65" spans="1:7" ht="16" x14ac:dyDescent="0.2">
      <c r="A65" s="2"/>
      <c r="B65" s="2"/>
      <c r="C65" s="2"/>
      <c r="D65" s="2"/>
      <c r="E65" s="2"/>
      <c r="F65" s="2"/>
      <c r="G65" s="2"/>
    </row>
    <row r="66" spans="1:7" ht="16" x14ac:dyDescent="0.2">
      <c r="A66" s="2"/>
      <c r="B66" s="2"/>
      <c r="C66" s="2"/>
      <c r="D66" s="2"/>
      <c r="E66" s="2"/>
      <c r="F66" s="2"/>
      <c r="G66" s="2"/>
    </row>
    <row r="67" spans="1:7" ht="16" x14ac:dyDescent="0.2">
      <c r="A67" s="2"/>
      <c r="B67" s="2"/>
      <c r="C67" s="2"/>
      <c r="D67" s="2"/>
      <c r="E67" s="2"/>
      <c r="F67" s="2"/>
      <c r="G67" s="2"/>
    </row>
    <row r="68" spans="1:7" ht="16" x14ac:dyDescent="0.2">
      <c r="A68" s="2"/>
      <c r="B68" s="2"/>
      <c r="C68" s="2"/>
      <c r="D68" s="2"/>
      <c r="E68" s="2"/>
      <c r="F68" s="2"/>
      <c r="G68" s="2"/>
    </row>
    <row r="69" spans="1:7" ht="16" x14ac:dyDescent="0.2">
      <c r="A69" s="2"/>
      <c r="B69" s="2"/>
      <c r="C69" s="2"/>
      <c r="D69" s="2"/>
      <c r="E69" s="2"/>
      <c r="F69" s="2"/>
      <c r="G69" s="2"/>
    </row>
    <row r="70" spans="1:7" ht="16" x14ac:dyDescent="0.2">
      <c r="A70" s="2"/>
      <c r="B70" s="2"/>
      <c r="C70" s="2"/>
      <c r="D70" s="2"/>
      <c r="E70" s="2"/>
      <c r="F70" s="2"/>
      <c r="G70" s="2"/>
    </row>
    <row r="71" spans="1:7" ht="16" x14ac:dyDescent="0.2">
      <c r="A71" s="2"/>
      <c r="B71" s="2"/>
      <c r="C71" s="2"/>
      <c r="D71" s="2"/>
      <c r="E71" s="2"/>
      <c r="F71" s="2"/>
      <c r="G71" s="2"/>
    </row>
    <row r="72" spans="1:7" ht="16" x14ac:dyDescent="0.2">
      <c r="A72" s="2"/>
      <c r="B72" s="2"/>
      <c r="C72" s="2"/>
      <c r="D72" s="2"/>
      <c r="E72" s="2"/>
      <c r="F72" s="2"/>
      <c r="G72" s="2"/>
    </row>
    <row r="73" spans="1:7" ht="16" x14ac:dyDescent="0.2">
      <c r="A73" s="2"/>
      <c r="B73" s="2"/>
      <c r="C73" s="2"/>
      <c r="D73" s="2"/>
      <c r="E73" s="2"/>
      <c r="F73" s="2"/>
      <c r="G73" s="2"/>
    </row>
    <row r="74" spans="1:7" ht="16" x14ac:dyDescent="0.2">
      <c r="A74" s="2"/>
      <c r="B74" s="2"/>
      <c r="C74" s="2"/>
      <c r="D74" s="2"/>
      <c r="E74" s="2"/>
      <c r="F74" s="2"/>
      <c r="G74" s="2"/>
    </row>
    <row r="75" spans="1:7" ht="16" x14ac:dyDescent="0.2">
      <c r="A75" s="2"/>
      <c r="B75" s="2"/>
      <c r="C75" s="2"/>
      <c r="D75" s="2"/>
      <c r="E75" s="2"/>
      <c r="F75" s="2"/>
      <c r="G75" s="2"/>
    </row>
    <row r="76" spans="1:7" ht="16" x14ac:dyDescent="0.2">
      <c r="A76" s="2"/>
      <c r="B76" s="2"/>
      <c r="C76" s="2"/>
      <c r="D76" s="2"/>
      <c r="E76" s="2"/>
      <c r="F76" s="2"/>
      <c r="G76" s="2"/>
    </row>
    <row r="77" spans="1:7" ht="16" x14ac:dyDescent="0.2">
      <c r="A77" s="2"/>
      <c r="B77" s="2"/>
      <c r="C77" s="2"/>
      <c r="D77" s="2"/>
      <c r="E77" s="2"/>
      <c r="F77" s="2"/>
      <c r="G77" s="2"/>
    </row>
    <row r="78" spans="1:7" ht="16" x14ac:dyDescent="0.2">
      <c r="A78" s="2"/>
      <c r="B78" s="2"/>
      <c r="C78" s="2"/>
      <c r="D78" s="2"/>
      <c r="E78" s="2"/>
      <c r="F78" s="2"/>
      <c r="G78" s="2"/>
    </row>
    <row r="79" spans="1:7" ht="16" x14ac:dyDescent="0.2">
      <c r="A79" s="2"/>
      <c r="B79" s="2"/>
      <c r="C79" s="2"/>
      <c r="D79" s="2"/>
      <c r="E79" s="2"/>
      <c r="F79" s="2"/>
      <c r="G79" s="2"/>
    </row>
    <row r="80" spans="1:7" ht="16" x14ac:dyDescent="0.2">
      <c r="A80" s="2"/>
      <c r="B80" s="2"/>
      <c r="C80" s="2"/>
      <c r="D80" s="2"/>
      <c r="E80" s="2"/>
      <c r="F80" s="2"/>
      <c r="G80" s="2"/>
    </row>
    <row r="81" spans="1:7" ht="16" x14ac:dyDescent="0.2">
      <c r="A81" s="2"/>
      <c r="B81" s="2"/>
      <c r="C81" s="2"/>
      <c r="D81" s="2"/>
      <c r="E81" s="2"/>
      <c r="F81" s="2"/>
      <c r="G81" s="2"/>
    </row>
    <row r="82" spans="1:7" ht="16" x14ac:dyDescent="0.2">
      <c r="A82" s="2"/>
      <c r="B82" s="2"/>
      <c r="C82" s="2"/>
      <c r="D82" s="2"/>
      <c r="E82" s="2"/>
      <c r="F82" s="2"/>
      <c r="G82" s="2"/>
    </row>
    <row r="83" spans="1:7" ht="16" x14ac:dyDescent="0.2">
      <c r="A83" s="2"/>
      <c r="B83" s="2"/>
      <c r="C83" s="2"/>
      <c r="D83" s="2"/>
      <c r="E83" s="2"/>
      <c r="F83" s="2"/>
      <c r="G83" s="2"/>
    </row>
    <row r="84" spans="1:7" ht="16" x14ac:dyDescent="0.2">
      <c r="A84" s="2"/>
      <c r="B84" s="2"/>
      <c r="C84" s="2"/>
      <c r="D84" s="2"/>
      <c r="E84" s="2"/>
      <c r="F84" s="2"/>
      <c r="G84" s="2"/>
    </row>
    <row r="85" spans="1:7" ht="16" x14ac:dyDescent="0.2">
      <c r="A85" s="2"/>
      <c r="B85" s="2"/>
      <c r="C85" s="2"/>
      <c r="D85" s="2"/>
      <c r="E85" s="2"/>
      <c r="F85" s="2"/>
      <c r="G85" s="2"/>
    </row>
    <row r="86" spans="1:7" ht="16" x14ac:dyDescent="0.2">
      <c r="A86" s="2"/>
      <c r="B86" s="2"/>
      <c r="C86" s="2"/>
      <c r="D86" s="2"/>
      <c r="E86" s="2"/>
      <c r="F86" s="2"/>
      <c r="G86" s="2"/>
    </row>
    <row r="87" spans="1:7" ht="16" x14ac:dyDescent="0.2">
      <c r="A87" s="2"/>
      <c r="B87" s="2"/>
      <c r="C87" s="2"/>
      <c r="D87" s="2"/>
      <c r="E87" s="2"/>
      <c r="F87" s="2"/>
      <c r="G87" s="2"/>
    </row>
    <row r="88" spans="1:7" ht="16" x14ac:dyDescent="0.2">
      <c r="A88" s="2"/>
      <c r="B88" s="2"/>
      <c r="C88" s="2"/>
      <c r="D88" s="2"/>
      <c r="E88" s="2"/>
      <c r="F88" s="2"/>
      <c r="G88" s="2"/>
    </row>
    <row r="89" spans="1:7" ht="16" x14ac:dyDescent="0.2">
      <c r="A89" s="2"/>
      <c r="B89" s="2"/>
      <c r="C89" s="2"/>
      <c r="D89" s="2"/>
      <c r="E89" s="2"/>
      <c r="F89" s="2"/>
      <c r="G89" s="2"/>
    </row>
    <row r="90" spans="1:7" ht="16" x14ac:dyDescent="0.2">
      <c r="A90" s="2"/>
      <c r="B90" s="2"/>
      <c r="C90" s="2"/>
      <c r="D90" s="2"/>
      <c r="E90" s="2"/>
      <c r="F90" s="2"/>
      <c r="G90" s="2"/>
    </row>
    <row r="91" spans="1:7" ht="16" x14ac:dyDescent="0.2">
      <c r="A91" s="2"/>
      <c r="B91" s="2"/>
      <c r="C91" s="2"/>
      <c r="D91" s="2"/>
      <c r="E91" s="2"/>
      <c r="F91" s="2"/>
      <c r="G91" s="2"/>
    </row>
    <row r="92" spans="1:7" ht="16" x14ac:dyDescent="0.2">
      <c r="A92" s="2"/>
      <c r="B92" s="2"/>
      <c r="C92" s="2"/>
      <c r="D92" s="2"/>
      <c r="E92" s="2"/>
      <c r="F92" s="2"/>
      <c r="G92" s="2"/>
    </row>
    <row r="93" spans="1:7" ht="16" x14ac:dyDescent="0.2">
      <c r="A93" s="2"/>
      <c r="B93" s="2"/>
      <c r="C93" s="2"/>
      <c r="D93" s="2"/>
      <c r="E93" s="2"/>
      <c r="F93" s="2"/>
      <c r="G93" s="2"/>
    </row>
    <row r="94" spans="1:7" ht="16" x14ac:dyDescent="0.2">
      <c r="A94" s="2"/>
      <c r="B94" s="2"/>
      <c r="C94" s="2"/>
      <c r="D94" s="2"/>
      <c r="E94" s="2"/>
      <c r="F94" s="2"/>
      <c r="G94" s="2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AF101"/>
  <sheetViews>
    <sheetView showGridLines="0" workbookViewId="0">
      <selection activeCell="J33" sqref="J33"/>
    </sheetView>
  </sheetViews>
  <sheetFormatPr baseColWidth="10" defaultColWidth="8.83203125" defaultRowHeight="15" x14ac:dyDescent="0.2"/>
  <cols>
    <col min="1" max="1" width="50" customWidth="1"/>
    <col min="2" max="2" width="10" customWidth="1"/>
    <col min="3" max="3" width="10.1640625" customWidth="1"/>
    <col min="4" max="4" width="10" customWidth="1"/>
    <col min="5" max="5" width="11.83203125" customWidth="1"/>
    <col min="6" max="6" width="4.5" customWidth="1"/>
    <col min="13" max="14" width="0" hidden="1" customWidth="1"/>
    <col min="17" max="17" width="30" customWidth="1"/>
    <col min="18" max="18" width="11.5" customWidth="1"/>
    <col min="19" max="19" width="11.83203125" customWidth="1"/>
    <col min="20" max="20" width="11.33203125" customWidth="1"/>
  </cols>
  <sheetData>
    <row r="1" spans="1:24" ht="19" x14ac:dyDescent="0.25">
      <c r="A1" s="229" t="s">
        <v>206</v>
      </c>
      <c r="B1" s="230"/>
      <c r="C1" s="228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35" t="s">
        <v>181</v>
      </c>
      <c r="R1" s="135"/>
      <c r="S1" s="42"/>
      <c r="T1" s="25"/>
      <c r="U1" s="25"/>
      <c r="V1" s="25"/>
      <c r="W1" s="25"/>
      <c r="X1" s="25"/>
    </row>
    <row r="2" spans="1:24" ht="16" thickBot="1" x14ac:dyDescent="0.25">
      <c r="A2" s="25" t="s">
        <v>185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x14ac:dyDescent="0.2">
      <c r="A3" s="25" t="s">
        <v>186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3" t="s">
        <v>174</v>
      </c>
      <c r="S3" s="264"/>
      <c r="T3" s="265"/>
      <c r="U3" s="25"/>
      <c r="V3" s="25"/>
      <c r="W3" s="25"/>
      <c r="X3" s="25"/>
    </row>
    <row r="4" spans="1:24" ht="16" thickBo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7" t="s">
        <v>175</v>
      </c>
      <c r="S4" s="268"/>
      <c r="T4" s="269"/>
      <c r="U4" s="25"/>
      <c r="V4" s="25"/>
      <c r="W4" s="25"/>
      <c r="X4" s="25"/>
    </row>
    <row r="5" spans="1:24" ht="31.5" customHeight="1" thickBot="1" x14ac:dyDescent="0.25">
      <c r="A5" s="43"/>
      <c r="B5" s="293" t="s">
        <v>244</v>
      </c>
      <c r="C5" s="294"/>
      <c r="D5" s="291" t="s">
        <v>246</v>
      </c>
      <c r="E5" s="292"/>
      <c r="F5" s="25"/>
      <c r="G5" s="25"/>
      <c r="H5" s="290" t="s">
        <v>243</v>
      </c>
      <c r="I5" s="290"/>
      <c r="J5" s="290"/>
      <c r="K5" s="290"/>
      <c r="L5" s="25"/>
      <c r="M5" s="25"/>
      <c r="N5" s="25"/>
      <c r="O5" s="25"/>
      <c r="P5" s="25"/>
      <c r="Q5" s="25"/>
      <c r="R5" s="44" t="s">
        <v>173</v>
      </c>
      <c r="S5" s="45" t="s">
        <v>153</v>
      </c>
      <c r="T5" s="46" t="s">
        <v>154</v>
      </c>
      <c r="U5" s="25"/>
      <c r="V5" s="25"/>
      <c r="W5" s="25"/>
      <c r="X5" s="25"/>
    </row>
    <row r="6" spans="1:24" ht="45" customHeight="1" thickBot="1" x14ac:dyDescent="0.25">
      <c r="A6" s="25"/>
      <c r="B6" s="47" t="s">
        <v>184</v>
      </c>
      <c r="C6" s="285">
        <v>6</v>
      </c>
      <c r="D6" s="48" t="s">
        <v>184</v>
      </c>
      <c r="E6" s="49" t="s">
        <v>25</v>
      </c>
      <c r="F6" s="25"/>
      <c r="G6" s="297" t="s">
        <v>245</v>
      </c>
      <c r="H6" s="298"/>
      <c r="I6" s="298"/>
      <c r="J6" s="298"/>
      <c r="K6" s="298"/>
      <c r="L6" s="299"/>
      <c r="M6" s="50"/>
      <c r="N6" s="50"/>
      <c r="O6" s="50"/>
      <c r="P6" s="50"/>
      <c r="Q6" s="25"/>
      <c r="R6" s="51" t="s">
        <v>171</v>
      </c>
      <c r="S6" s="286">
        <v>15</v>
      </c>
      <c r="T6" s="287">
        <v>10</v>
      </c>
      <c r="U6" s="25"/>
      <c r="V6" s="25"/>
      <c r="W6" s="25"/>
      <c r="X6" s="25"/>
    </row>
    <row r="7" spans="1:24" ht="16" thickBot="1" x14ac:dyDescent="0.25">
      <c r="A7" s="42" t="s">
        <v>26</v>
      </c>
      <c r="B7" s="52"/>
      <c r="C7" s="53">
        <f xml:space="preserve"> B7*C6</f>
        <v>0</v>
      </c>
      <c r="D7" s="54"/>
      <c r="E7" s="53">
        <f xml:space="preserve"> D7*12</f>
        <v>0</v>
      </c>
      <c r="F7" s="25" t="s">
        <v>27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25"/>
      <c r="R7" s="55" t="s">
        <v>172</v>
      </c>
      <c r="S7" s="288">
        <v>5</v>
      </c>
      <c r="T7" s="289">
        <v>5</v>
      </c>
      <c r="U7" s="25"/>
      <c r="V7" s="25"/>
      <c r="W7" s="25"/>
      <c r="X7" s="25"/>
    </row>
    <row r="8" spans="1:24" x14ac:dyDescent="0.2">
      <c r="A8" s="25" t="s">
        <v>97</v>
      </c>
      <c r="B8" s="56"/>
      <c r="C8" s="53">
        <f xml:space="preserve"> B8*C6</f>
        <v>0</v>
      </c>
      <c r="D8" s="57"/>
      <c r="E8" s="58">
        <f xml:space="preserve"> D8*12</f>
        <v>0</v>
      </c>
      <c r="F8" s="25" t="s">
        <v>27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6" thickBot="1" x14ac:dyDescent="0.25">
      <c r="A9" s="59" t="s">
        <v>28</v>
      </c>
      <c r="B9" s="60">
        <f>SUM(B7:B8)</f>
        <v>0</v>
      </c>
      <c r="C9" s="61">
        <f>SUM(C7:C8)</f>
        <v>0</v>
      </c>
      <c r="D9" s="62">
        <f xml:space="preserve"> D7+D8</f>
        <v>0</v>
      </c>
      <c r="E9" s="61">
        <f t="shared" ref="E9:E12" si="0" xml:space="preserve"> D9*12</f>
        <v>0</v>
      </c>
      <c r="F9" s="25" t="s">
        <v>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6" thickBot="1" x14ac:dyDescent="0.25">
      <c r="A10" s="25" t="s">
        <v>99</v>
      </c>
      <c r="B10" s="56"/>
      <c r="C10" s="58">
        <f xml:space="preserve"> B10*C6</f>
        <v>0</v>
      </c>
      <c r="D10" s="63"/>
      <c r="E10" s="58">
        <f t="shared" si="0"/>
        <v>0</v>
      </c>
      <c r="F10" s="25" t="s">
        <v>27</v>
      </c>
      <c r="G10" s="282" t="s">
        <v>151</v>
      </c>
      <c r="H10" s="274"/>
      <c r="I10" s="274"/>
      <c r="J10" s="274"/>
      <c r="K10" s="275"/>
      <c r="L10" s="38"/>
      <c r="M10" s="64"/>
      <c r="N10" s="64"/>
      <c r="O10" s="64"/>
      <c r="P10" s="64"/>
      <c r="Q10" s="65"/>
      <c r="R10" s="64"/>
      <c r="S10" s="25"/>
      <c r="T10" s="25"/>
      <c r="U10" s="25"/>
      <c r="V10" s="25"/>
      <c r="W10" s="25"/>
      <c r="X10" s="25"/>
    </row>
    <row r="11" spans="1:24" ht="16" thickBot="1" x14ac:dyDescent="0.25">
      <c r="A11" s="59" t="s">
        <v>30</v>
      </c>
      <c r="B11" s="60">
        <f>SUM(B9:B10)</f>
        <v>0</v>
      </c>
      <c r="C11" s="61">
        <f>SUM(C9:C10)</f>
        <v>0</v>
      </c>
      <c r="D11" s="62">
        <f xml:space="preserve"> D9+D10</f>
        <v>0</v>
      </c>
      <c r="E11" s="61">
        <f t="shared" si="0"/>
        <v>0</v>
      </c>
      <c r="F11" s="25" t="s">
        <v>29</v>
      </c>
      <c r="G11" s="283" t="s">
        <v>249</v>
      </c>
      <c r="H11" s="280"/>
      <c r="I11" s="280"/>
      <c r="J11" s="280"/>
      <c r="K11" s="281"/>
      <c r="L11" s="38"/>
      <c r="M11" s="25"/>
      <c r="N11" s="25"/>
      <c r="O11" s="25"/>
      <c r="P11" s="25"/>
      <c r="Q11" s="66" t="s">
        <v>152</v>
      </c>
      <c r="R11" s="67" t="s">
        <v>178</v>
      </c>
      <c r="S11" s="67" t="s">
        <v>179</v>
      </c>
      <c r="T11" s="68" t="s">
        <v>180</v>
      </c>
      <c r="U11" s="25"/>
      <c r="V11" s="25"/>
      <c r="W11" s="25"/>
      <c r="X11" s="25"/>
    </row>
    <row r="12" spans="1:24" ht="16" thickBot="1" x14ac:dyDescent="0.25">
      <c r="A12" s="25" t="s">
        <v>98</v>
      </c>
      <c r="B12" s="69"/>
      <c r="C12" s="70">
        <f xml:space="preserve"> B12*C6</f>
        <v>0</v>
      </c>
      <c r="D12" s="71"/>
      <c r="E12" s="70">
        <f t="shared" si="0"/>
        <v>0</v>
      </c>
      <c r="F12" s="25" t="s">
        <v>27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72" t="s">
        <v>155</v>
      </c>
      <c r="R12" s="73">
        <f xml:space="preserve"> E38</f>
        <v>0</v>
      </c>
      <c r="S12" s="73">
        <f xml:space="preserve"> S14+S13</f>
        <v>0</v>
      </c>
      <c r="T12" s="74">
        <f xml:space="preserve"> T14+T13</f>
        <v>0</v>
      </c>
      <c r="U12" s="25"/>
      <c r="V12" s="25"/>
      <c r="W12" s="25"/>
      <c r="X12" s="25"/>
    </row>
    <row r="13" spans="1:24" ht="16" thickBot="1" x14ac:dyDescent="0.25">
      <c r="A13" s="75" t="s">
        <v>31</v>
      </c>
      <c r="B13" s="76">
        <f>SUM(B11:B12)</f>
        <v>0</v>
      </c>
      <c r="C13" s="77">
        <f>SUM(C11:C12)</f>
        <v>0</v>
      </c>
      <c r="D13" s="78">
        <f xml:space="preserve"> D11+D12</f>
        <v>0</v>
      </c>
      <c r="E13" s="77">
        <f xml:space="preserve"> E11+E12</f>
        <v>0</v>
      </c>
      <c r="F13" s="25" t="s">
        <v>29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79" t="s">
        <v>156</v>
      </c>
      <c r="R13" s="80">
        <f xml:space="preserve"> E37</f>
        <v>0</v>
      </c>
      <c r="S13" s="80">
        <f xml:space="preserve"> S14*0.24</f>
        <v>0</v>
      </c>
      <c r="T13" s="81">
        <f xml:space="preserve"> T14*0.24</f>
        <v>0</v>
      </c>
      <c r="U13" s="25"/>
      <c r="V13" s="25"/>
      <c r="W13" s="25"/>
      <c r="X13" s="25"/>
    </row>
    <row r="14" spans="1:24" ht="16" thickBot="1" x14ac:dyDescent="0.25">
      <c r="A14" s="25"/>
      <c r="B14" s="82"/>
      <c r="C14" s="82"/>
      <c r="D14" s="82"/>
      <c r="E14" s="82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83" t="s">
        <v>157</v>
      </c>
      <c r="R14" s="84">
        <f xml:space="preserve"> R12-R13</f>
        <v>0</v>
      </c>
      <c r="S14" s="84">
        <f xml:space="preserve"> R14+(R14/100*S6)</f>
        <v>0</v>
      </c>
      <c r="T14" s="85">
        <f xml:space="preserve"> S14+(S14/100*T6)</f>
        <v>0</v>
      </c>
      <c r="U14" s="25"/>
      <c r="V14" s="25"/>
      <c r="W14" s="25"/>
      <c r="X14" s="25"/>
    </row>
    <row r="15" spans="1:24" ht="16" thickBot="1" x14ac:dyDescent="0.25">
      <c r="A15" s="86" t="s">
        <v>32</v>
      </c>
      <c r="B15" s="87"/>
      <c r="C15" s="87"/>
      <c r="D15" s="82"/>
      <c r="E15" s="8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72" t="s">
        <v>158</v>
      </c>
      <c r="R15" s="73">
        <f xml:space="preserve"> E35</f>
        <v>0</v>
      </c>
      <c r="S15" s="73">
        <f xml:space="preserve"> R15+(R15/100*S7)</f>
        <v>0</v>
      </c>
      <c r="T15" s="74">
        <f xml:space="preserve"> S15+(S15/100*T7)</f>
        <v>0</v>
      </c>
      <c r="U15" s="25"/>
      <c r="V15" s="25"/>
      <c r="W15" s="25"/>
      <c r="X15" s="25"/>
    </row>
    <row r="16" spans="1:24" x14ac:dyDescent="0.2">
      <c r="A16" s="25" t="s">
        <v>33</v>
      </c>
      <c r="B16" s="88"/>
      <c r="C16" s="89">
        <f xml:space="preserve"> B16*C6</f>
        <v>0</v>
      </c>
      <c r="D16" s="90"/>
      <c r="E16" s="91">
        <f xml:space="preserve"> D16*12</f>
        <v>0</v>
      </c>
      <c r="F16" s="25" t="s">
        <v>27</v>
      </c>
      <c r="G16" s="282" t="s">
        <v>149</v>
      </c>
      <c r="H16" s="274"/>
      <c r="I16" s="274"/>
      <c r="J16" s="274"/>
      <c r="K16" s="275"/>
      <c r="L16" s="38"/>
      <c r="M16" s="25"/>
      <c r="N16" s="25"/>
      <c r="O16" s="25"/>
      <c r="P16" s="25"/>
      <c r="Q16" s="92" t="s">
        <v>159</v>
      </c>
      <c r="R16" s="93">
        <f xml:space="preserve"> E18+E19</f>
        <v>0</v>
      </c>
      <c r="S16" s="93">
        <f xml:space="preserve"> R16+(R16/100*S7)</f>
        <v>0</v>
      </c>
      <c r="T16" s="94">
        <f xml:space="preserve"> S16+(S16/100*T7)</f>
        <v>0</v>
      </c>
      <c r="U16" s="25"/>
      <c r="V16" s="25"/>
      <c r="W16" s="25"/>
      <c r="X16" s="25"/>
    </row>
    <row r="17" spans="1:32" x14ac:dyDescent="0.2">
      <c r="A17" s="25" t="s">
        <v>34</v>
      </c>
      <c r="B17" s="95"/>
      <c r="C17" s="96">
        <f xml:space="preserve"> B17*C6</f>
        <v>0</v>
      </c>
      <c r="D17" s="57"/>
      <c r="E17" s="58">
        <f t="shared" ref="E17:E31" si="1" xml:space="preserve"> D17*12</f>
        <v>0</v>
      </c>
      <c r="F17" s="25" t="s">
        <v>27</v>
      </c>
      <c r="G17" s="284" t="s">
        <v>247</v>
      </c>
      <c r="H17" s="266"/>
      <c r="I17" s="266"/>
      <c r="J17" s="266"/>
      <c r="K17" s="277"/>
      <c r="L17" s="38"/>
      <c r="M17" s="25"/>
      <c r="N17" s="25"/>
      <c r="O17" s="25"/>
      <c r="P17" s="25"/>
      <c r="Q17" s="92" t="s">
        <v>160</v>
      </c>
      <c r="R17" s="93">
        <f xml:space="preserve"> E20</f>
        <v>0</v>
      </c>
      <c r="S17" s="93">
        <f xml:space="preserve"> R17+(R17/100*S7)</f>
        <v>0</v>
      </c>
      <c r="T17" s="94">
        <f xml:space="preserve"> S17+(S17/100*T7)</f>
        <v>0</v>
      </c>
      <c r="U17" s="25"/>
      <c r="V17" s="25"/>
      <c r="W17" s="25"/>
      <c r="X17" s="25"/>
    </row>
    <row r="18" spans="1:32" x14ac:dyDescent="0.2">
      <c r="A18" s="25" t="s">
        <v>35</v>
      </c>
      <c r="B18" s="95"/>
      <c r="C18" s="96">
        <f xml:space="preserve"> B18*C6</f>
        <v>0</v>
      </c>
      <c r="D18" s="57"/>
      <c r="E18" s="58">
        <f t="shared" si="1"/>
        <v>0</v>
      </c>
      <c r="F18" s="25" t="s">
        <v>27</v>
      </c>
      <c r="G18" s="284" t="s">
        <v>150</v>
      </c>
      <c r="H18" s="266"/>
      <c r="I18" s="266"/>
      <c r="J18" s="266"/>
      <c r="K18" s="277"/>
      <c r="L18" s="38"/>
      <c r="M18" s="25"/>
      <c r="N18" s="25"/>
      <c r="O18" s="25"/>
      <c r="P18" s="25"/>
      <c r="Q18" s="92" t="s">
        <v>161</v>
      </c>
      <c r="R18" s="93">
        <f xml:space="preserve"> E22</f>
        <v>0</v>
      </c>
      <c r="S18" s="93">
        <f xml:space="preserve"> R18+(R18/100*S7)</f>
        <v>0</v>
      </c>
      <c r="T18" s="94">
        <f xml:space="preserve"> S18+(S18/100*T7)</f>
        <v>0</v>
      </c>
      <c r="U18" s="25"/>
      <c r="V18" s="25"/>
      <c r="W18" s="25"/>
      <c r="X18" s="25"/>
    </row>
    <row r="19" spans="1:32" ht="16" thickBot="1" x14ac:dyDescent="0.25">
      <c r="A19" s="25" t="s">
        <v>36</v>
      </c>
      <c r="B19" s="95"/>
      <c r="C19" s="96">
        <f xml:space="preserve"> B19*C6</f>
        <v>0</v>
      </c>
      <c r="D19" s="57"/>
      <c r="E19" s="58">
        <f t="shared" si="1"/>
        <v>0</v>
      </c>
      <c r="F19" s="25" t="s">
        <v>27</v>
      </c>
      <c r="G19" s="283" t="s">
        <v>248</v>
      </c>
      <c r="H19" s="280"/>
      <c r="I19" s="280"/>
      <c r="J19" s="280"/>
      <c r="K19" s="281"/>
      <c r="L19" s="38"/>
      <c r="M19" s="25"/>
      <c r="N19" s="25"/>
      <c r="O19" s="25"/>
      <c r="P19" s="25"/>
      <c r="Q19" s="79" t="s">
        <v>170</v>
      </c>
      <c r="R19" s="80">
        <f xml:space="preserve"> E16+E17+E21+E23+E24+E25+E26+E27+E28+E29+E30+E31</f>
        <v>0</v>
      </c>
      <c r="S19" s="80">
        <f xml:space="preserve"> R19+(R19/100*S7)</f>
        <v>0</v>
      </c>
      <c r="T19" s="81">
        <f xml:space="preserve"> S19+(S19/100*T7)</f>
        <v>0</v>
      </c>
      <c r="U19" s="25"/>
      <c r="V19" s="25"/>
      <c r="W19" s="25"/>
      <c r="X19" s="25"/>
    </row>
    <row r="20" spans="1:32" ht="16" thickBot="1" x14ac:dyDescent="0.25">
      <c r="A20" s="25" t="s">
        <v>37</v>
      </c>
      <c r="B20" s="95"/>
      <c r="C20" s="96">
        <f xml:space="preserve"> B20*C6</f>
        <v>0</v>
      </c>
      <c r="D20" s="57"/>
      <c r="E20" s="58">
        <f t="shared" si="1"/>
        <v>0</v>
      </c>
      <c r="F20" s="25" t="s">
        <v>27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83" t="s">
        <v>162</v>
      </c>
      <c r="R20" s="84">
        <f xml:space="preserve"> R14-R15-R16-R17-R18-R19</f>
        <v>0</v>
      </c>
      <c r="S20" s="84">
        <f xml:space="preserve"> S14-S15-S16-S17-S18-S19</f>
        <v>0</v>
      </c>
      <c r="T20" s="85">
        <f xml:space="preserve"> T14-T15-T16-T17-T18-T19</f>
        <v>0</v>
      </c>
      <c r="U20" s="25"/>
      <c r="V20" s="25"/>
      <c r="W20" s="25"/>
      <c r="X20" s="25"/>
    </row>
    <row r="21" spans="1:32" x14ac:dyDescent="0.2">
      <c r="A21" s="25" t="s">
        <v>38</v>
      </c>
      <c r="B21" s="95"/>
      <c r="C21" s="96">
        <f xml:space="preserve"> B21*C6</f>
        <v>0</v>
      </c>
      <c r="D21" s="57"/>
      <c r="E21" s="58">
        <f t="shared" si="1"/>
        <v>0</v>
      </c>
      <c r="F21" s="25" t="s">
        <v>27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72" t="s">
        <v>163</v>
      </c>
      <c r="R21" s="73">
        <f xml:space="preserve"> E8+E12</f>
        <v>0</v>
      </c>
      <c r="S21" s="73">
        <f xml:space="preserve"> R21</f>
        <v>0</v>
      </c>
      <c r="T21" s="74">
        <f xml:space="preserve"> S21</f>
        <v>0</v>
      </c>
      <c r="U21" s="25"/>
      <c r="V21" s="25"/>
      <c r="W21" s="25"/>
      <c r="X21" s="25"/>
    </row>
    <row r="22" spans="1:32" ht="16" thickBot="1" x14ac:dyDescent="0.25">
      <c r="A22" s="25" t="s">
        <v>39</v>
      </c>
      <c r="B22" s="95"/>
      <c r="C22" s="96">
        <f xml:space="preserve"> B22*C6</f>
        <v>0</v>
      </c>
      <c r="D22" s="57"/>
      <c r="E22" s="58">
        <f t="shared" si="1"/>
        <v>0</v>
      </c>
      <c r="F22" s="25" t="s">
        <v>27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79" t="s">
        <v>164</v>
      </c>
      <c r="R22" s="80">
        <f xml:space="preserve"> E10</f>
        <v>0</v>
      </c>
      <c r="S22" s="80">
        <f xml:space="preserve"> R22+(R22/100*S7)</f>
        <v>0</v>
      </c>
      <c r="T22" s="81">
        <f xml:space="preserve"> S22+(S22/100*T7)</f>
        <v>0</v>
      </c>
      <c r="U22" s="25"/>
      <c r="V22" s="25"/>
      <c r="W22" s="25"/>
      <c r="X22" s="25"/>
    </row>
    <row r="23" spans="1:32" ht="16" thickBot="1" x14ac:dyDescent="0.25">
      <c r="A23" s="25" t="s">
        <v>40</v>
      </c>
      <c r="B23" s="95"/>
      <c r="C23" s="96">
        <f xml:space="preserve"> B23*C6</f>
        <v>0</v>
      </c>
      <c r="D23" s="57"/>
      <c r="E23" s="58">
        <f t="shared" si="1"/>
        <v>0</v>
      </c>
      <c r="F23" s="25" t="s">
        <v>27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83" t="s">
        <v>165</v>
      </c>
      <c r="R23" s="84">
        <f xml:space="preserve"> R20-R21-R22</f>
        <v>0</v>
      </c>
      <c r="S23" s="84">
        <f xml:space="preserve"> S20-S21-S22</f>
        <v>0</v>
      </c>
      <c r="T23" s="85">
        <f xml:space="preserve"> T20-T21-T22</f>
        <v>0</v>
      </c>
      <c r="U23" s="64"/>
      <c r="V23" s="64"/>
      <c r="W23" s="64"/>
      <c r="X23" s="64"/>
      <c r="Y23" s="3"/>
      <c r="Z23" s="3"/>
      <c r="AA23" s="3"/>
      <c r="AB23" s="3"/>
      <c r="AC23" s="3"/>
      <c r="AD23" s="3"/>
      <c r="AE23" s="3"/>
      <c r="AF23" s="3"/>
    </row>
    <row r="24" spans="1:32" ht="16" thickBot="1" x14ac:dyDescent="0.25">
      <c r="A24" s="25" t="s">
        <v>41</v>
      </c>
      <c r="B24" s="95"/>
      <c r="C24" s="96">
        <f xml:space="preserve"> B24*C6</f>
        <v>0</v>
      </c>
      <c r="D24" s="57"/>
      <c r="E24" s="58">
        <f t="shared" si="1"/>
        <v>0</v>
      </c>
      <c r="F24" s="25" t="s">
        <v>27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97" t="s">
        <v>166</v>
      </c>
      <c r="R24" s="98"/>
      <c r="S24" s="99"/>
      <c r="T24" s="100"/>
      <c r="U24" s="64"/>
      <c r="V24" s="64"/>
      <c r="W24" s="64"/>
      <c r="X24" s="64"/>
      <c r="Y24" s="3"/>
      <c r="Z24" s="3"/>
      <c r="AA24" s="3"/>
      <c r="AB24" s="3"/>
      <c r="AC24" s="3"/>
      <c r="AD24" s="3"/>
      <c r="AE24" s="3"/>
      <c r="AF24" s="3"/>
    </row>
    <row r="25" spans="1:32" ht="16" thickBot="1" x14ac:dyDescent="0.25">
      <c r="A25" s="25" t="s">
        <v>42</v>
      </c>
      <c r="B25" s="95"/>
      <c r="C25" s="96">
        <f xml:space="preserve"> B25*C6</f>
        <v>0</v>
      </c>
      <c r="D25" s="57"/>
      <c r="E25" s="58">
        <f t="shared" si="1"/>
        <v>0</v>
      </c>
      <c r="F25" s="25" t="s">
        <v>27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83" t="s">
        <v>167</v>
      </c>
      <c r="R25" s="84">
        <f xml:space="preserve"> R23-R24</f>
        <v>0</v>
      </c>
      <c r="S25" s="84">
        <f xml:space="preserve"> S23-S24</f>
        <v>0</v>
      </c>
      <c r="T25" s="85">
        <f xml:space="preserve"> T23-T24</f>
        <v>0</v>
      </c>
      <c r="U25" s="25"/>
      <c r="V25" s="25"/>
      <c r="W25" s="25"/>
      <c r="X25" s="25"/>
    </row>
    <row r="26" spans="1:32" ht="16" thickBot="1" x14ac:dyDescent="0.25">
      <c r="A26" s="25" t="s">
        <v>43</v>
      </c>
      <c r="B26" s="95"/>
      <c r="C26" s="96">
        <f xml:space="preserve"> B26*C6</f>
        <v>0</v>
      </c>
      <c r="D26" s="57"/>
      <c r="E26" s="58">
        <f t="shared" si="1"/>
        <v>0</v>
      </c>
      <c r="F26" s="25" t="s">
        <v>27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97" t="s">
        <v>168</v>
      </c>
      <c r="R26" s="98"/>
      <c r="S26" s="98"/>
      <c r="T26" s="101"/>
      <c r="U26" s="25"/>
      <c r="V26" s="25"/>
      <c r="W26" s="25"/>
      <c r="X26" s="25"/>
    </row>
    <row r="27" spans="1:32" ht="16" thickBot="1" x14ac:dyDescent="0.25">
      <c r="A27" s="25" t="s">
        <v>44</v>
      </c>
      <c r="B27" s="95"/>
      <c r="C27" s="96">
        <f xml:space="preserve"> B27*C6</f>
        <v>0</v>
      </c>
      <c r="D27" s="57"/>
      <c r="E27" s="58">
        <f t="shared" si="1"/>
        <v>0</v>
      </c>
      <c r="F27" s="25" t="s">
        <v>27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83" t="s">
        <v>169</v>
      </c>
      <c r="R27" s="84">
        <f xml:space="preserve"> R25+R26</f>
        <v>0</v>
      </c>
      <c r="S27" s="84">
        <f xml:space="preserve"> S25+S26</f>
        <v>0</v>
      </c>
      <c r="T27" s="85">
        <f xml:space="preserve"> T25+T26</f>
        <v>0</v>
      </c>
      <c r="U27" s="25"/>
      <c r="V27" s="25"/>
      <c r="W27" s="25"/>
      <c r="X27" s="25"/>
    </row>
    <row r="28" spans="1:32" x14ac:dyDescent="0.2">
      <c r="A28" s="25" t="s">
        <v>45</v>
      </c>
      <c r="B28" s="95"/>
      <c r="C28" s="96">
        <f xml:space="preserve"> B28*C6</f>
        <v>0</v>
      </c>
      <c r="D28" s="57"/>
      <c r="E28" s="58">
        <f t="shared" si="1"/>
        <v>0</v>
      </c>
      <c r="F28" s="25" t="s">
        <v>27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32" x14ac:dyDescent="0.2">
      <c r="A29" s="25" t="s">
        <v>46</v>
      </c>
      <c r="B29" s="95"/>
      <c r="C29" s="96">
        <f xml:space="preserve"> B29*C6</f>
        <v>0</v>
      </c>
      <c r="D29" s="57"/>
      <c r="E29" s="58">
        <f t="shared" si="1"/>
        <v>0</v>
      </c>
      <c r="F29" s="25" t="s">
        <v>27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32" x14ac:dyDescent="0.2">
      <c r="A30" s="25" t="s">
        <v>47</v>
      </c>
      <c r="B30" s="95"/>
      <c r="C30" s="96">
        <f xml:space="preserve"> B30*C6</f>
        <v>0</v>
      </c>
      <c r="D30" s="57"/>
      <c r="E30" s="58">
        <f t="shared" si="1"/>
        <v>0</v>
      </c>
      <c r="F30" s="25" t="s">
        <v>27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32" ht="16" thickBot="1" x14ac:dyDescent="0.25">
      <c r="A31" s="25" t="s">
        <v>48</v>
      </c>
      <c r="B31" s="102"/>
      <c r="C31" s="103">
        <f xml:space="preserve"> B31*C6</f>
        <v>0</v>
      </c>
      <c r="D31" s="104"/>
      <c r="E31" s="105">
        <f t="shared" si="1"/>
        <v>0</v>
      </c>
      <c r="F31" s="25" t="s">
        <v>27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32" ht="16" thickBot="1" x14ac:dyDescent="0.25">
      <c r="A32" s="75" t="s">
        <v>49</v>
      </c>
      <c r="B32" s="106">
        <f>SUM(B16:B31)</f>
        <v>0</v>
      </c>
      <c r="C32" s="106">
        <f>SUM(C16:C31)</f>
        <v>0</v>
      </c>
      <c r="D32" s="107">
        <f>SUM(D16:D31)</f>
        <v>0</v>
      </c>
      <c r="E32" s="108">
        <f>SUM(E16:E31)</f>
        <v>0</v>
      </c>
      <c r="F32" s="25" t="s">
        <v>29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6" thickBot="1" x14ac:dyDescent="0.25">
      <c r="A33" s="25"/>
      <c r="B33" s="82"/>
      <c r="C33" s="82"/>
      <c r="D33" s="82"/>
      <c r="E33" s="82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">
      <c r="A34" s="59" t="s">
        <v>50</v>
      </c>
      <c r="B34" s="109">
        <f xml:space="preserve"> B13+B32</f>
        <v>0</v>
      </c>
      <c r="C34" s="110">
        <f xml:space="preserve"> C13+C32</f>
        <v>0</v>
      </c>
      <c r="D34" s="111">
        <f xml:space="preserve"> D13+D32</f>
        <v>0</v>
      </c>
      <c r="E34" s="110">
        <f xml:space="preserve"> E13+E32</f>
        <v>0</v>
      </c>
      <c r="F34" s="25" t="s">
        <v>29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">
      <c r="A35" s="25" t="s">
        <v>51</v>
      </c>
      <c r="B35" s="95"/>
      <c r="C35" s="58">
        <f xml:space="preserve"> B35*C6</f>
        <v>0</v>
      </c>
      <c r="D35" s="57"/>
      <c r="E35" s="58">
        <f xml:space="preserve"> D35*12</f>
        <v>0</v>
      </c>
      <c r="F35" s="25" t="s">
        <v>27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x14ac:dyDescent="0.2">
      <c r="A36" s="59" t="s">
        <v>52</v>
      </c>
      <c r="B36" s="112">
        <f>SUM(B34:B35)</f>
        <v>0</v>
      </c>
      <c r="C36" s="61">
        <f>SUM(C34:C35)</f>
        <v>0</v>
      </c>
      <c r="D36" s="62">
        <f>SUM(D34:D35)</f>
        <v>0</v>
      </c>
      <c r="E36" s="61">
        <f xml:space="preserve"> E34+E35</f>
        <v>0</v>
      </c>
      <c r="F36" s="25" t="s">
        <v>29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x14ac:dyDescent="0.2">
      <c r="A37" s="113" t="s">
        <v>177</v>
      </c>
      <c r="B37" s="95">
        <f xml:space="preserve"> B36/100*24</f>
        <v>0</v>
      </c>
      <c r="C37" s="58">
        <f xml:space="preserve"> B37*C6</f>
        <v>0</v>
      </c>
      <c r="D37" s="57">
        <f xml:space="preserve"> D36/100*24</f>
        <v>0</v>
      </c>
      <c r="E37" s="58">
        <f xml:space="preserve"> E36/100*24</f>
        <v>0</v>
      </c>
      <c r="F37" s="25" t="s">
        <v>27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6" thickBot="1" x14ac:dyDescent="0.25">
      <c r="A38" s="59" t="s">
        <v>53</v>
      </c>
      <c r="B38" s="114">
        <f>SUM(B36:B37)</f>
        <v>0</v>
      </c>
      <c r="C38" s="115">
        <f>SUM(C36:C37)</f>
        <v>0</v>
      </c>
      <c r="D38" s="116">
        <f>SUM(D36:D37)</f>
        <v>0</v>
      </c>
      <c r="E38" s="115">
        <f>SUM(E36:E37)</f>
        <v>0</v>
      </c>
      <c r="F38" s="25" t="s">
        <v>29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x14ac:dyDescent="0.2">
      <c r="A39" s="65"/>
      <c r="B39" s="117"/>
      <c r="C39" s="117"/>
      <c r="D39" s="118"/>
      <c r="E39" s="11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6" thickBot="1" x14ac:dyDescent="0.25">
      <c r="A40" s="25"/>
      <c r="B40" s="82"/>
      <c r="C40" s="8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x14ac:dyDescent="0.2">
      <c r="A41" s="42" t="s">
        <v>54</v>
      </c>
      <c r="B41" s="295" t="s">
        <v>145</v>
      </c>
      <c r="C41" s="296"/>
      <c r="D41" s="119" t="s">
        <v>145</v>
      </c>
      <c r="E41" s="120" t="s">
        <v>146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6" thickBot="1" x14ac:dyDescent="0.25">
      <c r="A42" s="42"/>
      <c r="B42" s="121"/>
      <c r="C42" s="122">
        <f xml:space="preserve"> C36</f>
        <v>0</v>
      </c>
      <c r="D42" s="123">
        <f xml:space="preserve"> E36</f>
        <v>0</v>
      </c>
      <c r="E42" s="124">
        <f xml:space="preserve"> E38</f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x14ac:dyDescent="0.2">
      <c r="A43" s="65" t="s">
        <v>55</v>
      </c>
      <c r="B43" s="121"/>
      <c r="C43" s="125">
        <f xml:space="preserve"> C42/C6</f>
        <v>0</v>
      </c>
      <c r="D43" s="126">
        <f xml:space="preserve"> D42/11</f>
        <v>0</v>
      </c>
      <c r="E43" s="127">
        <f xml:space="preserve"> E42/11</f>
        <v>0</v>
      </c>
      <c r="F43" s="25" t="s">
        <v>56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x14ac:dyDescent="0.2">
      <c r="A44" s="42" t="s">
        <v>57</v>
      </c>
      <c r="B44" s="121"/>
      <c r="C44" s="128">
        <f xml:space="preserve"> C43/20</f>
        <v>0</v>
      </c>
      <c r="D44" s="129">
        <f xml:space="preserve"> D43/20</f>
        <v>0</v>
      </c>
      <c r="E44" s="130">
        <f xml:space="preserve"> E43/20</f>
        <v>0</v>
      </c>
      <c r="F44" s="25" t="s">
        <v>58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6" thickBot="1" x14ac:dyDescent="0.25">
      <c r="A45" s="42" t="s">
        <v>59</v>
      </c>
      <c r="B45" s="106"/>
      <c r="C45" s="131">
        <f xml:space="preserve"> C44/8</f>
        <v>0</v>
      </c>
      <c r="D45" s="132">
        <f xml:space="preserve"> D44/8</f>
        <v>0</v>
      </c>
      <c r="E45" s="133">
        <f xml:space="preserve"> E44/8</f>
        <v>0</v>
      </c>
      <c r="F45" s="25" t="s">
        <v>60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x14ac:dyDescent="0.2">
      <c r="A47" s="25"/>
      <c r="B47" s="25"/>
      <c r="C47" s="134" t="s">
        <v>203</v>
      </c>
      <c r="D47" s="134"/>
      <c r="E47" s="134"/>
      <c r="F47" s="6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1" t="s">
        <v>61</v>
      </c>
      <c r="R47" s="25"/>
      <c r="S47" s="25"/>
      <c r="T47" s="25"/>
      <c r="U47" s="25"/>
      <c r="V47" s="25"/>
      <c r="W47" s="25"/>
      <c r="X47" s="25"/>
    </row>
    <row r="48" spans="1:24" x14ac:dyDescent="0.2">
      <c r="A48" s="41" t="s">
        <v>61</v>
      </c>
      <c r="B48" s="25"/>
      <c r="C48" s="134" t="s">
        <v>187</v>
      </c>
      <c r="D48" s="134"/>
      <c r="E48" s="134"/>
      <c r="F48" s="6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x14ac:dyDescent="0.2">
      <c r="A49" s="25"/>
      <c r="B49" s="25"/>
      <c r="C49" s="134" t="s">
        <v>188</v>
      </c>
      <c r="D49" s="134"/>
      <c r="E49" s="134"/>
      <c r="F49" s="6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x14ac:dyDescent="0.2">
      <c r="A52" s="42" t="s">
        <v>62</v>
      </c>
      <c r="B52" s="42"/>
      <c r="C52" s="4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x14ac:dyDescent="0.2">
      <c r="A54" s="42" t="s">
        <v>63</v>
      </c>
      <c r="B54" s="42"/>
      <c r="C54" s="4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x14ac:dyDescent="0.2">
      <c r="A55" s="25" t="s">
        <v>64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x14ac:dyDescent="0.2">
      <c r="A56" s="25" t="s">
        <v>65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x14ac:dyDescent="0.2">
      <c r="A57" s="25" t="s">
        <v>66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x14ac:dyDescent="0.2">
      <c r="A59" s="42" t="s">
        <v>67</v>
      </c>
      <c r="B59" s="42"/>
      <c r="C59" s="4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x14ac:dyDescent="0.2">
      <c r="A60" s="25" t="s">
        <v>68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x14ac:dyDescent="0.2">
      <c r="A61" s="25" t="s">
        <v>69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2">
      <c r="A62" s="25" t="s">
        <v>70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x14ac:dyDescent="0.2">
      <c r="A64" s="42" t="s">
        <v>71</v>
      </c>
      <c r="B64" s="42"/>
      <c r="C64" s="4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x14ac:dyDescent="0.2">
      <c r="A65" s="25" t="s">
        <v>72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x14ac:dyDescent="0.2">
      <c r="A66" s="25" t="s">
        <v>73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x14ac:dyDescent="0.2">
      <c r="A67" s="25" t="s">
        <v>74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x14ac:dyDescent="0.2">
      <c r="A69" s="42" t="s">
        <v>75</v>
      </c>
      <c r="B69" s="42"/>
      <c r="C69" s="4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x14ac:dyDescent="0.2">
      <c r="A70" s="25" t="s">
        <v>76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x14ac:dyDescent="0.2">
      <c r="A71" s="25" t="s">
        <v>77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x14ac:dyDescent="0.2">
      <c r="A72" s="25" t="s">
        <v>78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">
      <c r="A74" s="42" t="s">
        <v>79</v>
      </c>
      <c r="B74" s="42"/>
      <c r="C74" s="42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x14ac:dyDescent="0.2">
      <c r="A75" s="25" t="s">
        <v>80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x14ac:dyDescent="0.2">
      <c r="A77" s="42" t="s">
        <v>81</v>
      </c>
      <c r="B77" s="42"/>
      <c r="C77" s="42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x14ac:dyDescent="0.2">
      <c r="A78" s="25" t="s">
        <v>82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x14ac:dyDescent="0.2">
      <c r="A80" s="42" t="s">
        <v>83</v>
      </c>
      <c r="B80" s="42"/>
      <c r="C80" s="42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x14ac:dyDescent="0.2">
      <c r="A81" s="25" t="s">
        <v>84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x14ac:dyDescent="0.2">
      <c r="A83" s="42" t="s">
        <v>85</v>
      </c>
      <c r="B83" s="42"/>
      <c r="C83" s="42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x14ac:dyDescent="0.2">
      <c r="A84" s="25" t="s">
        <v>86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x14ac:dyDescent="0.2">
      <c r="A86" s="42" t="s">
        <v>87</v>
      </c>
      <c r="B86" s="42"/>
      <c r="C86" s="42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x14ac:dyDescent="0.2">
      <c r="A87" s="25" t="s">
        <v>88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x14ac:dyDescent="0.2">
      <c r="A88" s="25" t="s">
        <v>89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x14ac:dyDescent="0.2">
      <c r="A89" s="25" t="s">
        <v>90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x14ac:dyDescent="0.2">
      <c r="A91" s="42" t="s">
        <v>91</v>
      </c>
      <c r="B91" s="42"/>
      <c r="C91" s="42"/>
      <c r="D91" s="25"/>
      <c r="E91" s="25"/>
      <c r="F91" s="25"/>
      <c r="G91" s="25"/>
      <c r="H91" s="25"/>
    </row>
    <row r="92" spans="1:24" x14ac:dyDescent="0.2">
      <c r="A92" s="25" t="s">
        <v>92</v>
      </c>
      <c r="B92" s="25"/>
      <c r="C92" s="25"/>
      <c r="D92" s="25"/>
      <c r="E92" s="25"/>
      <c r="F92" s="25"/>
      <c r="G92" s="25"/>
      <c r="H92" s="25"/>
    </row>
    <row r="93" spans="1:24" x14ac:dyDescent="0.2">
      <c r="A93" s="25" t="s">
        <v>147</v>
      </c>
      <c r="B93" s="25"/>
      <c r="C93" s="25"/>
      <c r="D93" s="25"/>
      <c r="E93" s="25"/>
      <c r="F93" s="25"/>
      <c r="G93" s="25"/>
      <c r="H93" s="25"/>
    </row>
    <row r="94" spans="1:24" x14ac:dyDescent="0.2">
      <c r="A94" s="25"/>
      <c r="B94" s="25"/>
      <c r="C94" s="25"/>
      <c r="D94" s="25"/>
      <c r="E94" s="25"/>
      <c r="F94" s="25"/>
      <c r="G94" s="25"/>
      <c r="H94" s="25"/>
    </row>
    <row r="95" spans="1:24" x14ac:dyDescent="0.2">
      <c r="A95" s="25" t="s">
        <v>93</v>
      </c>
      <c r="B95" s="25"/>
      <c r="C95" s="25"/>
      <c r="D95" s="25"/>
      <c r="E95" s="25"/>
      <c r="F95" s="25"/>
      <c r="G95" s="25"/>
      <c r="H95" s="25"/>
    </row>
    <row r="96" spans="1:24" x14ac:dyDescent="0.2">
      <c r="A96" s="25"/>
      <c r="B96" s="25"/>
      <c r="C96" s="25"/>
      <c r="D96" s="25"/>
      <c r="E96" s="25"/>
      <c r="F96" s="25"/>
      <c r="G96" s="25"/>
      <c r="H96" s="25"/>
    </row>
    <row r="97" spans="1:8" x14ac:dyDescent="0.2">
      <c r="A97" s="25" t="s">
        <v>94</v>
      </c>
      <c r="B97" s="25"/>
      <c r="C97" s="25"/>
      <c r="D97" s="25"/>
      <c r="E97" s="25"/>
      <c r="F97" s="25"/>
      <c r="G97" s="25"/>
      <c r="H97" s="25"/>
    </row>
    <row r="98" spans="1:8" x14ac:dyDescent="0.2">
      <c r="A98" s="25" t="s">
        <v>95</v>
      </c>
      <c r="B98" s="25"/>
      <c r="C98" s="25"/>
      <c r="D98" s="25"/>
      <c r="E98" s="25"/>
      <c r="F98" s="25"/>
      <c r="G98" s="25"/>
      <c r="H98" s="25"/>
    </row>
    <row r="99" spans="1:8" x14ac:dyDescent="0.2">
      <c r="A99" s="25"/>
      <c r="B99" s="25"/>
      <c r="C99" s="25"/>
      <c r="D99" s="25"/>
      <c r="E99" s="25"/>
      <c r="F99" s="25"/>
      <c r="G99" s="25"/>
      <c r="H99" s="25"/>
    </row>
    <row r="100" spans="1:8" x14ac:dyDescent="0.2">
      <c r="A100" s="41" t="s">
        <v>96</v>
      </c>
      <c r="B100" s="25"/>
      <c r="C100" s="25"/>
      <c r="D100" s="25"/>
      <c r="E100" s="25"/>
      <c r="F100" s="25"/>
      <c r="G100" s="25"/>
      <c r="H100" s="25"/>
    </row>
    <row r="101" spans="1:8" x14ac:dyDescent="0.2">
      <c r="A101" s="25"/>
      <c r="B101" s="25"/>
      <c r="C101" s="25"/>
      <c r="D101" s="25"/>
      <c r="E101" s="25"/>
      <c r="F101" s="25"/>
      <c r="G101" s="25"/>
      <c r="H101" s="25"/>
    </row>
  </sheetData>
  <mergeCells count="4">
    <mergeCell ref="D5:E5"/>
    <mergeCell ref="B5:C5"/>
    <mergeCell ref="B41:C41"/>
    <mergeCell ref="G6:L6"/>
  </mergeCells>
  <pageMargins left="0.11811023622047245" right="0.11811023622047245" top="0.35433070866141736" bottom="0.35433070866141736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dimension ref="A1:R38"/>
  <sheetViews>
    <sheetView showGridLines="0" workbookViewId="0">
      <selection activeCell="C28" sqref="C28"/>
    </sheetView>
  </sheetViews>
  <sheetFormatPr baseColWidth="10" defaultColWidth="8.83203125" defaultRowHeight="15" x14ac:dyDescent="0.2"/>
  <cols>
    <col min="1" max="1" width="33.5" customWidth="1"/>
    <col min="2" max="2" width="25.5" bestFit="1" customWidth="1"/>
    <col min="3" max="3" width="12.5" customWidth="1"/>
    <col min="4" max="4" width="25.5" bestFit="1" customWidth="1"/>
    <col min="5" max="5" width="12.5" customWidth="1"/>
    <col min="6" max="6" width="25.5" bestFit="1" customWidth="1"/>
    <col min="7" max="7" width="11.5" customWidth="1"/>
    <col min="8" max="8" width="25.5" bestFit="1" customWidth="1"/>
    <col min="9" max="9" width="10.83203125" customWidth="1"/>
    <col min="10" max="10" width="25.5" bestFit="1" customWidth="1"/>
    <col min="11" max="11" width="10.33203125" customWidth="1"/>
    <col min="12" max="12" width="25" customWidth="1"/>
    <col min="13" max="13" width="11.1640625" customWidth="1"/>
    <col min="14" max="14" width="13.83203125" customWidth="1"/>
    <col min="15" max="15" width="13" customWidth="1"/>
  </cols>
  <sheetData>
    <row r="1" spans="1:18" ht="19" x14ac:dyDescent="0.25">
      <c r="A1" s="229" t="s">
        <v>242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</row>
    <row r="2" spans="1:18" ht="19" thickBo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5"/>
      <c r="O2" s="27"/>
      <c r="P2" s="1"/>
      <c r="Q2" s="1"/>
      <c r="R2" s="1"/>
    </row>
    <row r="3" spans="1:18" ht="18" x14ac:dyDescent="0.2">
      <c r="A3" s="138"/>
      <c r="B3" s="139"/>
      <c r="C3" s="140"/>
      <c r="D3" s="139"/>
      <c r="E3" s="140"/>
      <c r="F3" s="139"/>
      <c r="G3" s="140"/>
      <c r="H3" s="139"/>
      <c r="I3" s="140"/>
      <c r="J3" s="139"/>
      <c r="K3" s="140"/>
      <c r="L3" s="139"/>
      <c r="M3" s="140"/>
      <c r="N3" s="141" t="s">
        <v>15</v>
      </c>
      <c r="O3" s="27"/>
      <c r="P3" s="1"/>
      <c r="Q3" s="1"/>
      <c r="R3" s="1"/>
    </row>
    <row r="4" spans="1:18" ht="19" thickBot="1" x14ac:dyDescent="0.25">
      <c r="A4" s="142"/>
      <c r="B4" s="143" t="s">
        <v>1</v>
      </c>
      <c r="C4" s="144" t="s">
        <v>13</v>
      </c>
      <c r="D4" s="143" t="s">
        <v>2</v>
      </c>
      <c r="E4" s="144" t="s">
        <v>13</v>
      </c>
      <c r="F4" s="143" t="s">
        <v>3</v>
      </c>
      <c r="G4" s="144" t="s">
        <v>13</v>
      </c>
      <c r="H4" s="143" t="s">
        <v>4</v>
      </c>
      <c r="I4" s="144" t="s">
        <v>13</v>
      </c>
      <c r="J4" s="143" t="s">
        <v>5</v>
      </c>
      <c r="K4" s="144" t="s">
        <v>13</v>
      </c>
      <c r="L4" s="143" t="s">
        <v>6</v>
      </c>
      <c r="M4" s="144" t="s">
        <v>13</v>
      </c>
      <c r="N4" s="145" t="s">
        <v>16</v>
      </c>
      <c r="O4" s="27"/>
      <c r="P4" s="1"/>
      <c r="Q4" s="1"/>
      <c r="R4" s="1"/>
    </row>
    <row r="5" spans="1:18" ht="19" thickBot="1" x14ac:dyDescent="0.25">
      <c r="A5" s="146" t="s">
        <v>0</v>
      </c>
      <c r="B5" s="147" t="s">
        <v>236</v>
      </c>
      <c r="C5" s="148"/>
      <c r="D5" s="147" t="s">
        <v>236</v>
      </c>
      <c r="E5" s="148"/>
      <c r="F5" s="147" t="s">
        <v>236</v>
      </c>
      <c r="G5" s="148"/>
      <c r="H5" s="147" t="s">
        <v>236</v>
      </c>
      <c r="I5" s="148"/>
      <c r="J5" s="147" t="s">
        <v>236</v>
      </c>
      <c r="K5" s="148"/>
      <c r="L5" s="147" t="s">
        <v>236</v>
      </c>
      <c r="M5" s="148"/>
      <c r="N5" s="149"/>
      <c r="O5" s="27"/>
      <c r="P5" s="1"/>
      <c r="Q5" s="1"/>
      <c r="R5" s="1"/>
    </row>
    <row r="6" spans="1:18" ht="18" x14ac:dyDescent="0.2">
      <c r="A6" s="150"/>
      <c r="B6" s="151" t="s">
        <v>234</v>
      </c>
      <c r="C6" s="152">
        <v>0</v>
      </c>
      <c r="D6" s="151" t="s">
        <v>235</v>
      </c>
      <c r="E6" s="153"/>
      <c r="F6" s="151" t="s">
        <v>234</v>
      </c>
      <c r="G6" s="153"/>
      <c r="H6" s="151" t="s">
        <v>234</v>
      </c>
      <c r="I6" s="153"/>
      <c r="J6" s="151" t="s">
        <v>234</v>
      </c>
      <c r="K6" s="153"/>
      <c r="L6" s="151" t="s">
        <v>234</v>
      </c>
      <c r="M6" s="153"/>
      <c r="N6" s="154"/>
      <c r="O6" s="27"/>
      <c r="P6" s="1"/>
      <c r="Q6" s="1"/>
      <c r="R6" s="1"/>
    </row>
    <row r="7" spans="1:18" ht="19" thickBot="1" x14ac:dyDescent="0.25">
      <c r="A7" s="155"/>
      <c r="B7" s="156" t="s">
        <v>7</v>
      </c>
      <c r="C7" s="157">
        <v>0</v>
      </c>
      <c r="D7" s="156" t="s">
        <v>7</v>
      </c>
      <c r="E7" s="158"/>
      <c r="F7" s="156" t="s">
        <v>7</v>
      </c>
      <c r="G7" s="158"/>
      <c r="H7" s="156" t="s">
        <v>7</v>
      </c>
      <c r="I7" s="158"/>
      <c r="J7" s="156" t="s">
        <v>7</v>
      </c>
      <c r="K7" s="158"/>
      <c r="L7" s="156" t="s">
        <v>7</v>
      </c>
      <c r="M7" s="158"/>
      <c r="N7" s="159"/>
      <c r="O7" s="27"/>
      <c r="P7" s="1"/>
      <c r="Q7" s="1"/>
      <c r="R7" s="1"/>
    </row>
    <row r="8" spans="1:18" ht="18" x14ac:dyDescent="0.2">
      <c r="A8" s="155"/>
      <c r="B8" s="160" t="s">
        <v>8</v>
      </c>
      <c r="C8" s="161">
        <f xml:space="preserve"> C6-C7</f>
        <v>0</v>
      </c>
      <c r="D8" s="160" t="s">
        <v>8</v>
      </c>
      <c r="E8" s="162">
        <f xml:space="preserve"> E6-E7</f>
        <v>0</v>
      </c>
      <c r="F8" s="160" t="s">
        <v>8</v>
      </c>
      <c r="G8" s="162">
        <f xml:space="preserve"> G6-G7</f>
        <v>0</v>
      </c>
      <c r="H8" s="160" t="s">
        <v>8</v>
      </c>
      <c r="I8" s="162">
        <f xml:space="preserve"> I6-I7</f>
        <v>0</v>
      </c>
      <c r="J8" s="160" t="s">
        <v>8</v>
      </c>
      <c r="K8" s="162">
        <f xml:space="preserve"> K6-K7</f>
        <v>0</v>
      </c>
      <c r="L8" s="160" t="s">
        <v>8</v>
      </c>
      <c r="M8" s="162">
        <f xml:space="preserve"> M6-M7</f>
        <v>0</v>
      </c>
      <c r="N8" s="150"/>
      <c r="O8" s="27"/>
      <c r="P8" s="1"/>
      <c r="Q8" s="1"/>
      <c r="R8" s="1"/>
    </row>
    <row r="9" spans="1:18" ht="19" thickBot="1" x14ac:dyDescent="0.25">
      <c r="A9" s="163"/>
      <c r="B9" s="164"/>
      <c r="C9" s="165"/>
      <c r="D9" s="164"/>
      <c r="E9" s="166"/>
      <c r="F9" s="164"/>
      <c r="G9" s="166"/>
      <c r="H9" s="164"/>
      <c r="I9" s="166"/>
      <c r="J9" s="164"/>
      <c r="K9" s="166"/>
      <c r="L9" s="164"/>
      <c r="M9" s="166"/>
      <c r="N9" s="155"/>
      <c r="O9" s="27"/>
      <c r="P9" s="1"/>
      <c r="Q9" s="1"/>
      <c r="R9" s="1"/>
    </row>
    <row r="10" spans="1:18" ht="19" thickBot="1" x14ac:dyDescent="0.25">
      <c r="A10" s="167" t="s">
        <v>9</v>
      </c>
      <c r="B10" s="168" t="s">
        <v>14</v>
      </c>
      <c r="C10" s="169"/>
      <c r="D10" s="168" t="s">
        <v>14</v>
      </c>
      <c r="E10" s="170"/>
      <c r="F10" s="168" t="s">
        <v>14</v>
      </c>
      <c r="G10" s="170"/>
      <c r="H10" s="168" t="s">
        <v>14</v>
      </c>
      <c r="I10" s="170"/>
      <c r="J10" s="168" t="s">
        <v>14</v>
      </c>
      <c r="K10" s="170"/>
      <c r="L10" s="168" t="s">
        <v>14</v>
      </c>
      <c r="M10" s="170"/>
      <c r="N10" s="171" t="s">
        <v>17</v>
      </c>
      <c r="O10" s="27"/>
      <c r="P10" s="1"/>
      <c r="Q10" s="1"/>
      <c r="R10" s="1"/>
    </row>
    <row r="11" spans="1:18" ht="18" x14ac:dyDescent="0.2">
      <c r="A11" s="172" t="s">
        <v>237</v>
      </c>
      <c r="B11" s="173"/>
      <c r="C11" s="174">
        <f xml:space="preserve"> B11*C8</f>
        <v>0</v>
      </c>
      <c r="D11" s="173"/>
      <c r="E11" s="175">
        <f xml:space="preserve"> D11*E8</f>
        <v>0</v>
      </c>
      <c r="F11" s="173"/>
      <c r="G11" s="175">
        <f xml:space="preserve"> F11*G8</f>
        <v>0</v>
      </c>
      <c r="H11" s="173"/>
      <c r="I11" s="175">
        <f xml:space="preserve"> H11*I8</f>
        <v>0</v>
      </c>
      <c r="J11" s="173"/>
      <c r="K11" s="175">
        <f xml:space="preserve"> J11*K8</f>
        <v>0</v>
      </c>
      <c r="L11" s="173"/>
      <c r="M11" s="175">
        <f xml:space="preserve"> L11*M8</f>
        <v>0</v>
      </c>
      <c r="N11" s="176">
        <f t="shared" ref="N11:N18" si="0" xml:space="preserve"> C11+E11+G11+I11+K11+M11</f>
        <v>0</v>
      </c>
      <c r="O11" s="27"/>
      <c r="P11" s="1"/>
      <c r="Q11" s="1"/>
      <c r="R11" s="1"/>
    </row>
    <row r="12" spans="1:18" ht="18" x14ac:dyDescent="0.2">
      <c r="A12" s="177" t="s">
        <v>238</v>
      </c>
      <c r="B12" s="178"/>
      <c r="C12" s="179">
        <f xml:space="preserve"> B12*C8</f>
        <v>0</v>
      </c>
      <c r="D12" s="178"/>
      <c r="E12" s="180">
        <f xml:space="preserve"> D12*E8</f>
        <v>0</v>
      </c>
      <c r="F12" s="178"/>
      <c r="G12" s="180">
        <f xml:space="preserve"> F12*G8</f>
        <v>0</v>
      </c>
      <c r="H12" s="178"/>
      <c r="I12" s="180">
        <f xml:space="preserve"> H12*I8</f>
        <v>0</v>
      </c>
      <c r="J12" s="178"/>
      <c r="K12" s="180">
        <f xml:space="preserve"> J12*K8</f>
        <v>0</v>
      </c>
      <c r="L12" s="178"/>
      <c r="M12" s="180">
        <f xml:space="preserve"> L12*M8</f>
        <v>0</v>
      </c>
      <c r="N12" s="176">
        <f t="shared" si="0"/>
        <v>0</v>
      </c>
      <c r="O12" s="27"/>
      <c r="P12" s="1"/>
      <c r="Q12" s="1"/>
      <c r="R12" s="1"/>
    </row>
    <row r="13" spans="1:18" ht="18" x14ac:dyDescent="0.2">
      <c r="A13" s="177" t="s">
        <v>239</v>
      </c>
      <c r="B13" s="178"/>
      <c r="C13" s="179">
        <f xml:space="preserve"> B13*C8</f>
        <v>0</v>
      </c>
      <c r="D13" s="178"/>
      <c r="E13" s="180">
        <f xml:space="preserve"> D13*E8</f>
        <v>0</v>
      </c>
      <c r="F13" s="178"/>
      <c r="G13" s="180">
        <f xml:space="preserve"> F13*G8</f>
        <v>0</v>
      </c>
      <c r="H13" s="178"/>
      <c r="I13" s="180">
        <f xml:space="preserve"> H13*I8</f>
        <v>0</v>
      </c>
      <c r="J13" s="178"/>
      <c r="K13" s="180">
        <f xml:space="preserve"> J13*K8</f>
        <v>0</v>
      </c>
      <c r="L13" s="178"/>
      <c r="M13" s="180">
        <f xml:space="preserve"> L13*M8</f>
        <v>0</v>
      </c>
      <c r="N13" s="176">
        <f t="shared" si="0"/>
        <v>0</v>
      </c>
      <c r="O13" s="27"/>
      <c r="P13" s="1"/>
      <c r="Q13" s="1"/>
      <c r="R13" s="1"/>
    </row>
    <row r="14" spans="1:18" ht="18" x14ac:dyDescent="0.2">
      <c r="A14" s="177" t="s">
        <v>240</v>
      </c>
      <c r="B14" s="178"/>
      <c r="C14" s="179">
        <f xml:space="preserve"> B14*C8</f>
        <v>0</v>
      </c>
      <c r="D14" s="178"/>
      <c r="E14" s="180">
        <f xml:space="preserve"> D14*E8</f>
        <v>0</v>
      </c>
      <c r="F14" s="178"/>
      <c r="G14" s="180">
        <f xml:space="preserve"> F14*G8</f>
        <v>0</v>
      </c>
      <c r="H14" s="178"/>
      <c r="I14" s="180">
        <f xml:space="preserve"> H14*I8</f>
        <v>0</v>
      </c>
      <c r="J14" s="178"/>
      <c r="K14" s="180">
        <f xml:space="preserve"> J14*K8</f>
        <v>0</v>
      </c>
      <c r="L14" s="178"/>
      <c r="M14" s="180">
        <f xml:space="preserve"> L14*M8</f>
        <v>0</v>
      </c>
      <c r="N14" s="176">
        <f t="shared" si="0"/>
        <v>0</v>
      </c>
      <c r="O14" s="27"/>
      <c r="P14" s="1"/>
      <c r="Q14" s="1"/>
      <c r="R14" s="1"/>
    </row>
    <row r="15" spans="1:18" ht="18" x14ac:dyDescent="0.2">
      <c r="A15" s="177" t="s">
        <v>241</v>
      </c>
      <c r="B15" s="178"/>
      <c r="C15" s="179">
        <f xml:space="preserve"> B15*C8</f>
        <v>0</v>
      </c>
      <c r="D15" s="178"/>
      <c r="E15" s="180">
        <f xml:space="preserve"> D15*E8</f>
        <v>0</v>
      </c>
      <c r="F15" s="178"/>
      <c r="G15" s="180">
        <f xml:space="preserve"> F15*G8</f>
        <v>0</v>
      </c>
      <c r="H15" s="178"/>
      <c r="I15" s="180">
        <f xml:space="preserve"> H15*I8</f>
        <v>0</v>
      </c>
      <c r="J15" s="178"/>
      <c r="K15" s="180">
        <f xml:space="preserve"> J15*K8</f>
        <v>0</v>
      </c>
      <c r="L15" s="178"/>
      <c r="M15" s="180">
        <f xml:space="preserve"> L15*M8</f>
        <v>0</v>
      </c>
      <c r="N15" s="176">
        <f t="shared" si="0"/>
        <v>0</v>
      </c>
      <c r="O15" s="27"/>
      <c r="P15" s="1"/>
      <c r="Q15" s="1"/>
      <c r="R15" s="1"/>
    </row>
    <row r="16" spans="1:18" ht="19" thickBot="1" x14ac:dyDescent="0.25">
      <c r="A16" s="181" t="s">
        <v>10</v>
      </c>
      <c r="B16" s="182"/>
      <c r="C16" s="183">
        <f xml:space="preserve"> B16*C8</f>
        <v>0</v>
      </c>
      <c r="D16" s="182"/>
      <c r="E16" s="180">
        <f xml:space="preserve"> D16*E8</f>
        <v>0</v>
      </c>
      <c r="F16" s="182"/>
      <c r="G16" s="184">
        <f xml:space="preserve"> F16*G8</f>
        <v>0</v>
      </c>
      <c r="H16" s="182"/>
      <c r="I16" s="184">
        <f xml:space="preserve"> H16*I8</f>
        <v>0</v>
      </c>
      <c r="J16" s="182"/>
      <c r="K16" s="184">
        <f xml:space="preserve"> J16*K8</f>
        <v>0</v>
      </c>
      <c r="L16" s="182"/>
      <c r="M16" s="184">
        <f xml:space="preserve"> L16*M8</f>
        <v>0</v>
      </c>
      <c r="N16" s="176">
        <f t="shared" si="0"/>
        <v>0</v>
      </c>
      <c r="O16" s="27"/>
      <c r="P16" s="1"/>
      <c r="Q16" s="1"/>
      <c r="R16" s="1"/>
    </row>
    <row r="17" spans="1:18" ht="18" x14ac:dyDescent="0.2">
      <c r="A17" s="185" t="s">
        <v>11</v>
      </c>
      <c r="B17" s="186"/>
      <c r="C17" s="187">
        <f>SUM(C11:C16)</f>
        <v>0</v>
      </c>
      <c r="D17" s="188"/>
      <c r="E17" s="189">
        <f>SUM(E11:E16)</f>
        <v>0</v>
      </c>
      <c r="F17" s="188"/>
      <c r="G17" s="189">
        <f>SUM(G11:G16)</f>
        <v>0</v>
      </c>
      <c r="H17" s="188"/>
      <c r="I17" s="189">
        <f>SUM(I11:I16)</f>
        <v>0</v>
      </c>
      <c r="J17" s="186"/>
      <c r="K17" s="189">
        <f>SUM(K11:K16)</f>
        <v>0</v>
      </c>
      <c r="L17" s="186"/>
      <c r="M17" s="189">
        <f>SUM(M11:M16)</f>
        <v>0</v>
      </c>
      <c r="N17" s="190">
        <f t="shared" si="0"/>
        <v>0</v>
      </c>
      <c r="O17" s="27"/>
      <c r="P17" s="1"/>
      <c r="Q17" s="1"/>
      <c r="R17" s="1"/>
    </row>
    <row r="18" spans="1:18" ht="18" x14ac:dyDescent="0.2">
      <c r="A18" s="191" t="s">
        <v>12</v>
      </c>
      <c r="B18" s="192">
        <f>SUM(B11:B17)</f>
        <v>0</v>
      </c>
      <c r="C18" s="193">
        <f xml:space="preserve"> B18*C6</f>
        <v>0</v>
      </c>
      <c r="D18" s="192">
        <f>SUM(D11:D17)</f>
        <v>0</v>
      </c>
      <c r="E18" s="194">
        <f xml:space="preserve"> D18*E6</f>
        <v>0</v>
      </c>
      <c r="F18" s="192">
        <f>SUM(F11:F17)</f>
        <v>0</v>
      </c>
      <c r="G18" s="194">
        <f xml:space="preserve"> F18*G6</f>
        <v>0</v>
      </c>
      <c r="H18" s="192">
        <f>SUM(H11:H17)</f>
        <v>0</v>
      </c>
      <c r="I18" s="194">
        <f xml:space="preserve"> H18*I6</f>
        <v>0</v>
      </c>
      <c r="J18" s="192">
        <f>SUM(J11:J17)</f>
        <v>0</v>
      </c>
      <c r="K18" s="194">
        <f xml:space="preserve"> J18*K6</f>
        <v>0</v>
      </c>
      <c r="L18" s="192">
        <f>SUM(L11:L17)</f>
        <v>0</v>
      </c>
      <c r="M18" s="194">
        <f xml:space="preserve"> L18*M6</f>
        <v>0</v>
      </c>
      <c r="N18" s="195">
        <f t="shared" si="0"/>
        <v>0</v>
      </c>
      <c r="O18" s="27"/>
      <c r="P18" s="1"/>
      <c r="Q18" s="1"/>
      <c r="R18" s="1"/>
    </row>
    <row r="19" spans="1:18" ht="19" thickBot="1" x14ac:dyDescent="0.25">
      <c r="A19" s="196" t="s">
        <v>21</v>
      </c>
      <c r="B19" s="197"/>
      <c r="C19" s="198">
        <f xml:space="preserve"> - B18*C7</f>
        <v>0</v>
      </c>
      <c r="D19" s="197"/>
      <c r="E19" s="199">
        <f xml:space="preserve"> -D18*E7</f>
        <v>0</v>
      </c>
      <c r="F19" s="197"/>
      <c r="G19" s="199">
        <f xml:space="preserve"> -F18*G7</f>
        <v>0</v>
      </c>
      <c r="H19" s="197"/>
      <c r="I19" s="199">
        <f xml:space="preserve"> -H18*I7</f>
        <v>0</v>
      </c>
      <c r="J19" s="197"/>
      <c r="K19" s="199">
        <f xml:space="preserve"> -J18*K7</f>
        <v>0</v>
      </c>
      <c r="L19" s="197"/>
      <c r="M19" s="199">
        <f xml:space="preserve"> -L18*M7</f>
        <v>0</v>
      </c>
      <c r="N19" s="200">
        <f>SUM(B19:M19)</f>
        <v>0</v>
      </c>
      <c r="O19" s="27"/>
      <c r="P19" s="1"/>
      <c r="Q19" s="1"/>
      <c r="R19" s="1"/>
    </row>
    <row r="20" spans="1:18" ht="19" thickBot="1" x14ac:dyDescent="0.25">
      <c r="A20" s="26"/>
      <c r="B20" s="27"/>
      <c r="C20" s="27"/>
      <c r="D20" s="27"/>
      <c r="E20" s="27"/>
      <c r="F20" s="35"/>
      <c r="G20" s="27"/>
      <c r="H20" s="27"/>
      <c r="I20" s="27"/>
      <c r="J20" s="27"/>
      <c r="K20" s="27"/>
      <c r="L20" s="201"/>
      <c r="M20" s="202" t="s">
        <v>19</v>
      </c>
      <c r="N20" s="203" t="s">
        <v>20</v>
      </c>
      <c r="O20" s="204"/>
      <c r="P20" s="1"/>
      <c r="Q20" s="1"/>
      <c r="R20" s="1"/>
    </row>
    <row r="21" spans="1:18" ht="18" x14ac:dyDescent="0.2">
      <c r="A21" s="27"/>
      <c r="B21" s="27"/>
      <c r="C21" s="27"/>
      <c r="D21" s="27"/>
      <c r="E21" s="27"/>
      <c r="F21" s="35"/>
      <c r="G21" s="27"/>
      <c r="H21" s="27"/>
      <c r="I21" s="27"/>
      <c r="J21" s="27"/>
      <c r="K21" s="27"/>
      <c r="L21" s="205" t="s">
        <v>18</v>
      </c>
      <c r="M21" s="206">
        <f xml:space="preserve"> N18</f>
        <v>0</v>
      </c>
      <c r="N21" s="207">
        <f xml:space="preserve"> M21*12</f>
        <v>0</v>
      </c>
      <c r="O21" s="208"/>
      <c r="P21" s="1"/>
      <c r="Q21" s="1"/>
      <c r="R21" s="1"/>
    </row>
    <row r="22" spans="1:18" ht="18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09" t="s">
        <v>21</v>
      </c>
      <c r="M22" s="210">
        <f xml:space="preserve"> N19</f>
        <v>0</v>
      </c>
      <c r="N22" s="211">
        <f xml:space="preserve"> M22*12</f>
        <v>0</v>
      </c>
      <c r="O22" s="208"/>
      <c r="P22" s="1"/>
      <c r="Q22" s="1"/>
      <c r="R22" s="1"/>
    </row>
    <row r="23" spans="1:18" ht="19" thickBo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09" t="s">
        <v>11</v>
      </c>
      <c r="M23" s="212">
        <f xml:space="preserve"> N17</f>
        <v>0</v>
      </c>
      <c r="N23" s="211">
        <f xml:space="preserve"> M23*12</f>
        <v>0</v>
      </c>
      <c r="O23" s="208"/>
      <c r="P23" s="1"/>
      <c r="Q23" s="1"/>
      <c r="R23" s="1"/>
    </row>
    <row r="24" spans="1:18" ht="35" thickBo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13" t="s">
        <v>24</v>
      </c>
      <c r="M24" s="214">
        <f>Kannattavuuslaskelma!D43</f>
        <v>0</v>
      </c>
      <c r="N24" s="215">
        <f xml:space="preserve"> M24*12</f>
        <v>0</v>
      </c>
      <c r="O24" s="208"/>
      <c r="P24" s="1"/>
      <c r="Q24" s="1"/>
      <c r="R24" s="1"/>
    </row>
    <row r="25" spans="1:18" ht="34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16" t="s">
        <v>22</v>
      </c>
      <c r="M25" s="206">
        <f xml:space="preserve"> M23-M24</f>
        <v>0</v>
      </c>
      <c r="N25" s="211"/>
      <c r="O25" s="208"/>
      <c r="P25" s="1"/>
      <c r="Q25" s="1"/>
      <c r="R25" s="1"/>
    </row>
    <row r="26" spans="1:18" ht="19" thickBo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17" t="s">
        <v>23</v>
      </c>
      <c r="M26" s="218" t="e">
        <f xml:space="preserve"> M24/M23*100</f>
        <v>#DIV/0!</v>
      </c>
      <c r="N26" s="219"/>
      <c r="O26" s="208"/>
      <c r="P26" s="1"/>
      <c r="Q26" s="1"/>
      <c r="R26" s="1"/>
    </row>
    <row r="27" spans="1:18" ht="18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"/>
      <c r="Q27" s="1"/>
      <c r="R27" s="1"/>
    </row>
    <row r="28" spans="1:18" ht="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20"/>
      <c r="L28" s="221" t="s">
        <v>190</v>
      </c>
      <c r="M28" s="221"/>
      <c r="N28" s="221"/>
      <c r="O28" s="27"/>
      <c r="P28" s="1"/>
      <c r="Q28" s="1"/>
      <c r="R28" s="1"/>
    </row>
    <row r="29" spans="1:18" ht="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22"/>
      <c r="L29" s="221" t="s">
        <v>189</v>
      </c>
      <c r="M29" s="221"/>
      <c r="N29" s="221"/>
      <c r="O29" s="27"/>
      <c r="P29" s="1"/>
      <c r="Q29" s="1"/>
      <c r="R29" s="1"/>
    </row>
    <row r="30" spans="1:18" ht="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"/>
      <c r="Q30" s="1"/>
      <c r="R30" s="1"/>
    </row>
    <row r="31" spans="1:18" ht="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2F37-440D-4A34-9A0F-9EC9ADB537E2}">
  <dimension ref="A1:U50"/>
  <sheetViews>
    <sheetView topLeftCell="A11" workbookViewId="0">
      <selection activeCell="G56" sqref="G56"/>
    </sheetView>
  </sheetViews>
  <sheetFormatPr baseColWidth="10" defaultColWidth="8.83203125" defaultRowHeight="15" x14ac:dyDescent="0.2"/>
  <cols>
    <col min="1" max="1" width="29.83203125" customWidth="1"/>
    <col min="2" max="2" width="2" customWidth="1"/>
    <col min="3" max="3" width="8.83203125" bestFit="1" customWidth="1"/>
    <col min="4" max="4" width="8.5" customWidth="1"/>
    <col min="5" max="8" width="8.6640625" bestFit="1" customWidth="1"/>
    <col min="9" max="9" width="9.83203125" customWidth="1"/>
    <col min="10" max="10" width="8.6640625" bestFit="1" customWidth="1"/>
    <col min="11" max="11" width="10.83203125" customWidth="1"/>
    <col min="12" max="12" width="10" customWidth="1"/>
    <col min="13" max="13" width="10.1640625" customWidth="1"/>
    <col min="14" max="15" width="8.6640625" bestFit="1" customWidth="1"/>
    <col min="16" max="16" width="2.1640625" customWidth="1"/>
    <col min="17" max="17" width="11.5" customWidth="1"/>
  </cols>
  <sheetData>
    <row r="1" spans="1:21" ht="22" thickBot="1" x14ac:dyDescent="0.3">
      <c r="A1" s="227" t="s">
        <v>207</v>
      </c>
      <c r="B1" s="226"/>
      <c r="C1" s="22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4"/>
      <c r="U1" s="4"/>
    </row>
    <row r="2" spans="1:21" ht="16" thickTop="1" x14ac:dyDescent="0.2">
      <c r="A2" s="8" t="s">
        <v>201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7"/>
      <c r="R2" s="7"/>
      <c r="S2" s="231"/>
      <c r="T2" s="233"/>
      <c r="U2" s="223"/>
    </row>
    <row r="3" spans="1:21" ht="45" x14ac:dyDescent="0.2">
      <c r="A3" s="235" t="s">
        <v>191</v>
      </c>
      <c r="B3" s="236"/>
      <c r="C3" s="237" t="s">
        <v>204</v>
      </c>
      <c r="D3" s="238" t="str">
        <f>UPPER(TEXT(FiscalYearStartDate,"kkk"))</f>
        <v>KKK</v>
      </c>
      <c r="E3" s="238" t="str">
        <f>UPPER(TEXT(EOMONTH(FiscalYearStartDate,1),"kkk"))</f>
        <v>KKK</v>
      </c>
      <c r="F3" s="238" t="str">
        <f>UPPER(TEXT(EOMONTH(FiscalYearStartDate,2),"kkk"))</f>
        <v>KKK</v>
      </c>
      <c r="G3" s="238" t="str">
        <f>UPPER(TEXT(EOMONTH(FiscalYearStartDate,3),"kkk"))</f>
        <v>KKK</v>
      </c>
      <c r="H3" s="238" t="str">
        <f>UPPER(TEXT(EOMONTH(FiscalYearStartDate,4),"kkk"))</f>
        <v>KKK</v>
      </c>
      <c r="I3" s="238" t="str">
        <f>UPPER(TEXT(EOMONTH(FiscalYearStartDate,5),"kkk"))</f>
        <v>KKK</v>
      </c>
      <c r="J3" s="238" t="str">
        <f>UPPER(TEXT(EOMONTH(FiscalYearStartDate,6),"kkk"))</f>
        <v>KKK</v>
      </c>
      <c r="K3" s="238" t="str">
        <f>UPPER(TEXT(EOMONTH(FiscalYearStartDate,7),"kkk"))</f>
        <v>KKK</v>
      </c>
      <c r="L3" s="238" t="str">
        <f>UPPER(TEXT(EOMONTH(FiscalYearStartDate,8),"kkk"))</f>
        <v>KKK</v>
      </c>
      <c r="M3" s="238" t="str">
        <f>UPPER(TEXT(EOMONTH(FiscalYearStartDate,9),"kkk"))</f>
        <v>KKK</v>
      </c>
      <c r="N3" s="238" t="str">
        <f>UPPER(TEXT(EOMONTH(FiscalYearStartDate,10),"kkk"))</f>
        <v>KKK</v>
      </c>
      <c r="O3" s="238" t="str">
        <f>UPPER(TEXT(EOMONTH(FiscalYearStartDate,11),"kkk"))</f>
        <v>KKK</v>
      </c>
      <c r="P3" s="239"/>
      <c r="Q3" s="237" t="s">
        <v>17</v>
      </c>
      <c r="R3" s="7"/>
      <c r="S3" s="231"/>
      <c r="T3" s="233"/>
      <c r="U3" s="223"/>
    </row>
    <row r="4" spans="1:21" ht="16" thickBot="1" x14ac:dyDescent="0.25">
      <c r="A4" s="240">
        <v>43709</v>
      </c>
      <c r="B4" s="8"/>
      <c r="C4" s="241" t="s">
        <v>192</v>
      </c>
      <c r="D4" s="242">
        <v>1</v>
      </c>
      <c r="E4" s="242">
        <v>2</v>
      </c>
      <c r="F4" s="242">
        <v>3</v>
      </c>
      <c r="G4" s="242">
        <v>4</v>
      </c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42">
        <v>12</v>
      </c>
      <c r="P4" s="243"/>
      <c r="Q4" s="244" t="s">
        <v>193</v>
      </c>
      <c r="R4" s="7"/>
      <c r="S4" s="231"/>
      <c r="T4" s="233"/>
      <c r="U4" s="223"/>
    </row>
    <row r="5" spans="1:21" ht="16" thickTop="1" x14ac:dyDescent="0.2">
      <c r="A5" s="10"/>
      <c r="B5" s="7"/>
      <c r="C5" s="11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  <c r="Q5" s="11"/>
      <c r="R5" s="7"/>
      <c r="S5" s="231"/>
      <c r="T5" s="233"/>
      <c r="U5" s="261"/>
    </row>
    <row r="6" spans="1:21" ht="16" thickBot="1" x14ac:dyDescent="0.25">
      <c r="A6" s="259" t="s">
        <v>208</v>
      </c>
      <c r="B6" s="7"/>
      <c r="C6" s="247"/>
      <c r="D6" s="247">
        <f>C43</f>
        <v>0</v>
      </c>
      <c r="E6" s="247">
        <f t="shared" ref="E6:O6" si="0">D43</f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0</v>
      </c>
      <c r="O6" s="247">
        <f t="shared" si="0"/>
        <v>0</v>
      </c>
      <c r="P6" s="12"/>
      <c r="Q6" s="247">
        <f>O6</f>
        <v>0</v>
      </c>
      <c r="R6" s="248"/>
      <c r="S6" s="231"/>
      <c r="T6" s="233"/>
      <c r="U6" s="223"/>
    </row>
    <row r="7" spans="1:21" x14ac:dyDescent="0.2">
      <c r="A7" s="7"/>
      <c r="B7" s="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3"/>
      <c r="Q7" s="23"/>
      <c r="R7" s="7"/>
      <c r="S7" s="231"/>
      <c r="T7" s="233"/>
      <c r="U7" s="223"/>
    </row>
    <row r="8" spans="1:21" ht="16" thickBot="1" x14ac:dyDescent="0.25">
      <c r="A8" s="249" t="s">
        <v>194</v>
      </c>
      <c r="B8" s="7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13"/>
      <c r="Q8" s="250"/>
      <c r="R8" s="251"/>
      <c r="S8" s="231"/>
      <c r="T8" s="233"/>
      <c r="U8" s="223"/>
    </row>
    <row r="9" spans="1:21" ht="16" thickTop="1" x14ac:dyDescent="0.2">
      <c r="A9" s="14" t="s">
        <v>229</v>
      </c>
      <c r="B9" s="13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15"/>
      <c r="Q9" s="23">
        <f>SUM(CashReceipts[[#This Row],[Period 0]:[Period 12]])</f>
        <v>0</v>
      </c>
      <c r="R9" s="7"/>
      <c r="S9" s="231"/>
      <c r="T9" s="233"/>
      <c r="U9" s="223"/>
    </row>
    <row r="10" spans="1:21" x14ac:dyDescent="0.2">
      <c r="A10" s="14" t="s">
        <v>230</v>
      </c>
      <c r="B10" s="13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15"/>
      <c r="Q10" s="23">
        <f>SUM(CashReceipts[[#This Row],[Period 0]:[Period 12]])</f>
        <v>0</v>
      </c>
      <c r="R10" s="7"/>
      <c r="S10" s="231"/>
      <c r="T10" s="233"/>
      <c r="U10" s="223"/>
    </row>
    <row r="11" spans="1:21" x14ac:dyDescent="0.2">
      <c r="A11" s="14" t="s">
        <v>231</v>
      </c>
      <c r="B11" s="16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15"/>
      <c r="Q11" s="23">
        <f>SUM(CashReceipts[[#This Row],[Period 0]:[Period 12]])</f>
        <v>0</v>
      </c>
      <c r="R11" s="7"/>
      <c r="S11" s="231"/>
      <c r="T11" s="233"/>
      <c r="U11" s="223"/>
    </row>
    <row r="12" spans="1:21" ht="16" thickBot="1" x14ac:dyDescent="0.25">
      <c r="A12" s="14" t="s">
        <v>17</v>
      </c>
      <c r="B12" s="17"/>
      <c r="C12" s="23">
        <f>SUBTOTAL(109,CashReceipts[Period 0])</f>
        <v>0</v>
      </c>
      <c r="D12" s="23">
        <f>SUBTOTAL(109,CashReceipts[Period 1])</f>
        <v>0</v>
      </c>
      <c r="E12" s="23">
        <f>SUBTOTAL(109,CashReceipts[Period 2])</f>
        <v>0</v>
      </c>
      <c r="F12" s="23">
        <f>SUBTOTAL(109,CashReceipts[Period 3])</f>
        <v>0</v>
      </c>
      <c r="G12" s="23">
        <f>SUBTOTAL(109,CashReceipts[Period 4])</f>
        <v>0</v>
      </c>
      <c r="H12" s="23">
        <f>SUBTOTAL(109,CashReceipts[Period 5])</f>
        <v>0</v>
      </c>
      <c r="I12" s="23">
        <f>SUBTOTAL(109,CashReceipts[Period 6])</f>
        <v>0</v>
      </c>
      <c r="J12" s="23">
        <f>SUBTOTAL(109,CashReceipts[Period 7])</f>
        <v>0</v>
      </c>
      <c r="K12" s="23">
        <f>SUBTOTAL(109,CashReceipts[Period 8])</f>
        <v>0</v>
      </c>
      <c r="L12" s="23">
        <f>SUBTOTAL(109,CashReceipts[Period 9])</f>
        <v>0</v>
      </c>
      <c r="M12" s="23">
        <f>SUBTOTAL(109,CashReceipts[Period 10])</f>
        <v>0</v>
      </c>
      <c r="N12" s="23">
        <f>SUBTOTAL(109,CashReceipts[Period 11])</f>
        <v>0</v>
      </c>
      <c r="O12" s="23">
        <f>SUBTOTAL(109,CashReceipts[Period 12])</f>
        <v>0</v>
      </c>
      <c r="P12" s="15"/>
      <c r="Q12" s="23">
        <f>SUBTOTAL(109,CashReceipts[Total])</f>
        <v>0</v>
      </c>
      <c r="R12" s="7"/>
      <c r="S12" s="231"/>
      <c r="T12" s="233"/>
      <c r="U12" s="223"/>
    </row>
    <row r="13" spans="1:21" ht="17" thickTop="1" thickBot="1" x14ac:dyDescent="0.25">
      <c r="A13" s="253" t="s">
        <v>209</v>
      </c>
      <c r="B13" s="18"/>
      <c r="C13" s="254">
        <f>C6+SUM(CashReceipts[Period 0])</f>
        <v>0</v>
      </c>
      <c r="D13" s="254">
        <f>D6+SUM(CashReceipts[Period 1])</f>
        <v>0</v>
      </c>
      <c r="E13" s="254">
        <f>E6+SUM(CashReceipts[Period 2])</f>
        <v>0</v>
      </c>
      <c r="F13" s="254">
        <f>F6+SUM(CashReceipts[Period 3])</f>
        <v>0</v>
      </c>
      <c r="G13" s="254">
        <f>G6+SUM(CashReceipts[Period 4])</f>
        <v>0</v>
      </c>
      <c r="H13" s="254">
        <f>H6+SUM(CashReceipts[Period 5])</f>
        <v>0</v>
      </c>
      <c r="I13" s="254">
        <f>I6+SUM(CashReceipts[Period 6])</f>
        <v>0</v>
      </c>
      <c r="J13" s="254">
        <f>J6+SUM(CashReceipts[Period 7])</f>
        <v>0</v>
      </c>
      <c r="K13" s="254">
        <f>K6+SUM(CashReceipts[Period 8])</f>
        <v>0</v>
      </c>
      <c r="L13" s="254">
        <f>L6+SUM(CashReceipts[Period 9])</f>
        <v>0</v>
      </c>
      <c r="M13" s="254">
        <f>M6+SUM(CashReceipts[Period 10])</f>
        <v>0</v>
      </c>
      <c r="N13" s="254">
        <f>N6+SUM(CashReceipts[Period 11])</f>
        <v>0</v>
      </c>
      <c r="O13" s="254">
        <f>O6+SUM(CashReceipts[Period 12])</f>
        <v>0</v>
      </c>
      <c r="P13" s="19"/>
      <c r="Q13" s="254">
        <f>Q6+SUM(CashReceipts[Total])</f>
        <v>0</v>
      </c>
      <c r="R13" s="20"/>
      <c r="S13" s="231"/>
      <c r="T13" s="233"/>
      <c r="U13" s="223"/>
    </row>
    <row r="14" spans="1:21" x14ac:dyDescent="0.2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231"/>
      <c r="T14" s="233"/>
      <c r="U14" s="223"/>
    </row>
    <row r="15" spans="1:21" ht="16" thickBot="1" x14ac:dyDescent="0.25">
      <c r="A15" s="255" t="s">
        <v>232</v>
      </c>
      <c r="B15" s="13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13"/>
      <c r="Q15" s="251"/>
      <c r="R15" s="251"/>
      <c r="S15" s="231"/>
      <c r="T15" s="233"/>
      <c r="U15" s="223"/>
    </row>
    <row r="16" spans="1:21" ht="16" thickTop="1" x14ac:dyDescent="0.2">
      <c r="A16" s="21" t="s">
        <v>213</v>
      </c>
      <c r="B16" s="13"/>
      <c r="C16" s="252"/>
      <c r="D16" s="252"/>
      <c r="E16" s="252"/>
      <c r="F16" s="260"/>
      <c r="G16" s="252"/>
      <c r="H16" s="252"/>
      <c r="I16" s="252"/>
      <c r="J16" s="252"/>
      <c r="K16" s="252"/>
      <c r="L16" s="252"/>
      <c r="M16" s="252"/>
      <c r="N16" s="252"/>
      <c r="O16" s="252"/>
      <c r="P16" s="256"/>
      <c r="Q16" s="23">
        <f>SUM(CashPaidOut[[#This Row],[Period 0]:[Period 12]])</f>
        <v>0</v>
      </c>
      <c r="R16" s="23"/>
      <c r="S16" s="231"/>
      <c r="T16" s="233"/>
      <c r="U16" s="223"/>
    </row>
    <row r="17" spans="1:21" x14ac:dyDescent="0.2">
      <c r="A17" s="21" t="s">
        <v>214</v>
      </c>
      <c r="B17" s="13"/>
      <c r="C17" s="252"/>
      <c r="D17" s="252"/>
      <c r="E17" s="252"/>
      <c r="F17" s="260"/>
      <c r="G17" s="252"/>
      <c r="H17" s="252"/>
      <c r="I17" s="252"/>
      <c r="J17" s="252"/>
      <c r="K17" s="252"/>
      <c r="L17" s="252"/>
      <c r="M17" s="252"/>
      <c r="N17" s="252"/>
      <c r="O17" s="252"/>
      <c r="P17" s="256"/>
      <c r="Q17" s="23">
        <f>SUM(CashPaidOut[[#This Row],[Period 0]:[Period 12]])</f>
        <v>0</v>
      </c>
      <c r="R17" s="23"/>
      <c r="S17" s="231"/>
      <c r="T17" s="233"/>
      <c r="U17" s="223"/>
    </row>
    <row r="18" spans="1:21" x14ac:dyDescent="0.2">
      <c r="A18" s="21" t="s">
        <v>215</v>
      </c>
      <c r="B18" s="13"/>
      <c r="C18" s="252"/>
      <c r="D18" s="252"/>
      <c r="E18" s="252"/>
      <c r="F18" s="260"/>
      <c r="G18" s="252"/>
      <c r="H18" s="252"/>
      <c r="I18" s="252"/>
      <c r="J18" s="252"/>
      <c r="K18" s="252"/>
      <c r="L18" s="252"/>
      <c r="M18" s="252"/>
      <c r="N18" s="252"/>
      <c r="O18" s="252"/>
      <c r="P18" s="256"/>
      <c r="Q18" s="23">
        <f>SUM(CashPaidOut[[#This Row],[Period 0]:[Period 12]])</f>
        <v>0</v>
      </c>
      <c r="R18" s="23"/>
      <c r="S18" s="231"/>
      <c r="T18" s="233"/>
      <c r="U18" s="223"/>
    </row>
    <row r="19" spans="1:21" x14ac:dyDescent="0.2">
      <c r="A19" s="21" t="s">
        <v>216</v>
      </c>
      <c r="B19" s="13"/>
      <c r="C19" s="252"/>
      <c r="D19" s="252"/>
      <c r="E19" s="252"/>
      <c r="F19" s="260"/>
      <c r="G19" s="252"/>
      <c r="H19" s="252"/>
      <c r="I19" s="252"/>
      <c r="J19" s="252"/>
      <c r="K19" s="252"/>
      <c r="L19" s="252"/>
      <c r="M19" s="252"/>
      <c r="N19" s="252"/>
      <c r="O19" s="252"/>
      <c r="P19" s="256"/>
      <c r="Q19" s="23">
        <f>SUM(CashPaidOut[[#This Row],[Period 0]:[Period 12]])</f>
        <v>0</v>
      </c>
      <c r="R19" s="23"/>
      <c r="S19" s="231"/>
      <c r="T19" s="233"/>
      <c r="U19" s="223"/>
    </row>
    <row r="20" spans="1:21" x14ac:dyDescent="0.2">
      <c r="A20" s="21" t="s">
        <v>217</v>
      </c>
      <c r="B20" s="13"/>
      <c r="C20" s="252"/>
      <c r="D20" s="252"/>
      <c r="E20" s="252"/>
      <c r="F20" s="260"/>
      <c r="G20" s="252"/>
      <c r="H20" s="252"/>
      <c r="I20" s="252"/>
      <c r="J20" s="252"/>
      <c r="K20" s="252"/>
      <c r="L20" s="252"/>
      <c r="M20" s="252"/>
      <c r="N20" s="252"/>
      <c r="O20" s="252"/>
      <c r="P20" s="256"/>
      <c r="Q20" s="23">
        <f>SUM(CashPaidOut[[#This Row],[Period 0]:[Period 12]])</f>
        <v>0</v>
      </c>
      <c r="R20" s="23"/>
      <c r="S20" s="231"/>
      <c r="T20" s="233"/>
      <c r="U20" s="223"/>
    </row>
    <row r="21" spans="1:21" x14ac:dyDescent="0.2">
      <c r="A21" s="21" t="s">
        <v>120</v>
      </c>
      <c r="B21" s="13"/>
      <c r="C21" s="252"/>
      <c r="D21" s="252"/>
      <c r="E21" s="252"/>
      <c r="F21" s="260"/>
      <c r="G21" s="252"/>
      <c r="H21" s="252"/>
      <c r="I21" s="252"/>
      <c r="J21" s="252"/>
      <c r="K21" s="252"/>
      <c r="L21" s="252"/>
      <c r="M21" s="252"/>
      <c r="N21" s="252"/>
      <c r="O21" s="252"/>
      <c r="P21" s="256"/>
      <c r="Q21" s="23">
        <f>SUM(CashPaidOut[[#This Row],[Period 0]:[Period 12]])</f>
        <v>0</v>
      </c>
      <c r="R21" s="23"/>
      <c r="S21" s="231"/>
      <c r="T21" s="233"/>
      <c r="U21" s="223"/>
    </row>
    <row r="22" spans="1:21" x14ac:dyDescent="0.2">
      <c r="A22" s="21" t="s">
        <v>218</v>
      </c>
      <c r="B22" s="13"/>
      <c r="C22" s="252"/>
      <c r="D22" s="252"/>
      <c r="E22" s="252"/>
      <c r="F22" s="260"/>
      <c r="G22" s="252"/>
      <c r="H22" s="252"/>
      <c r="I22" s="252"/>
      <c r="J22" s="252"/>
      <c r="K22" s="252"/>
      <c r="L22" s="252"/>
      <c r="M22" s="252"/>
      <c r="N22" s="252"/>
      <c r="O22" s="252"/>
      <c r="P22" s="256"/>
      <c r="Q22" s="23">
        <f>SUM(CashPaidOut[[#This Row],[Period 0]:[Period 12]])</f>
        <v>0</v>
      </c>
      <c r="R22" s="23"/>
      <c r="S22" s="231"/>
      <c r="T22" s="233"/>
      <c r="U22" s="223"/>
    </row>
    <row r="23" spans="1:21" x14ac:dyDescent="0.2">
      <c r="A23" s="21" t="s">
        <v>196</v>
      </c>
      <c r="B23" s="13"/>
      <c r="C23" s="252"/>
      <c r="D23" s="252"/>
      <c r="E23" s="252"/>
      <c r="F23" s="260"/>
      <c r="G23" s="252"/>
      <c r="H23" s="252"/>
      <c r="I23" s="252"/>
      <c r="J23" s="252"/>
      <c r="K23" s="252"/>
      <c r="L23" s="252"/>
      <c r="M23" s="252"/>
      <c r="N23" s="252"/>
      <c r="O23" s="252"/>
      <c r="P23" s="256"/>
      <c r="Q23" s="23">
        <f>SUM(CashPaidOut[[#This Row],[Period 0]:[Period 12]])</f>
        <v>0</v>
      </c>
      <c r="R23" s="23"/>
      <c r="S23" s="231"/>
      <c r="T23" s="233"/>
      <c r="U23" s="223"/>
    </row>
    <row r="24" spans="1:21" x14ac:dyDescent="0.2">
      <c r="A24" s="21" t="s">
        <v>226</v>
      </c>
      <c r="B24" s="13"/>
      <c r="C24" s="252"/>
      <c r="D24" s="252"/>
      <c r="E24" s="252"/>
      <c r="F24" s="260"/>
      <c r="G24" s="252"/>
      <c r="H24" s="252"/>
      <c r="I24" s="252"/>
      <c r="J24" s="252"/>
      <c r="K24" s="252"/>
      <c r="L24" s="252"/>
      <c r="M24" s="252"/>
      <c r="N24" s="252"/>
      <c r="O24" s="252"/>
      <c r="P24" s="256"/>
      <c r="Q24" s="23">
        <f>SUM(CashPaidOut[[#This Row],[Period 0]:[Period 12]])</f>
        <v>0</v>
      </c>
      <c r="R24" s="23"/>
      <c r="S24" s="231"/>
      <c r="T24" s="233"/>
      <c r="U24" s="223"/>
    </row>
    <row r="25" spans="1:21" x14ac:dyDescent="0.2">
      <c r="A25" s="21" t="s">
        <v>219</v>
      </c>
      <c r="B25" s="13"/>
      <c r="C25" s="252"/>
      <c r="D25" s="252"/>
      <c r="E25" s="252"/>
      <c r="F25" s="260"/>
      <c r="G25" s="252"/>
      <c r="H25" s="252"/>
      <c r="I25" s="252"/>
      <c r="J25" s="252"/>
      <c r="K25" s="252"/>
      <c r="L25" s="252"/>
      <c r="M25" s="252"/>
      <c r="N25" s="252"/>
      <c r="O25" s="252"/>
      <c r="P25" s="256"/>
      <c r="Q25" s="23">
        <f>SUM(CashPaidOut[[#This Row],[Period 0]:[Period 12]])</f>
        <v>0</v>
      </c>
      <c r="R25" s="23"/>
      <c r="S25" s="231"/>
      <c r="T25" s="233"/>
      <c r="U25" s="223"/>
    </row>
    <row r="26" spans="1:21" x14ac:dyDescent="0.2">
      <c r="A26" s="21" t="s">
        <v>212</v>
      </c>
      <c r="B26" s="13"/>
      <c r="C26" s="252"/>
      <c r="D26" s="252"/>
      <c r="E26" s="252"/>
      <c r="F26" s="260"/>
      <c r="G26" s="252"/>
      <c r="H26" s="252"/>
      <c r="I26" s="252"/>
      <c r="J26" s="252"/>
      <c r="K26" s="252"/>
      <c r="L26" s="252"/>
      <c r="M26" s="252"/>
      <c r="N26" s="252"/>
      <c r="O26" s="252"/>
      <c r="P26" s="256"/>
      <c r="Q26" s="23">
        <f>SUM(CashPaidOut[[#This Row],[Period 0]:[Period 12]])</f>
        <v>0</v>
      </c>
      <c r="R26" s="23"/>
      <c r="S26" s="231"/>
      <c r="T26" s="233"/>
      <c r="U26" s="223"/>
    </row>
    <row r="27" spans="1:21" x14ac:dyDescent="0.2">
      <c r="A27" s="21" t="s">
        <v>211</v>
      </c>
      <c r="B27" s="13"/>
      <c r="C27" s="252"/>
      <c r="D27" s="252"/>
      <c r="E27" s="252"/>
      <c r="F27" s="260"/>
      <c r="G27" s="252"/>
      <c r="H27" s="252"/>
      <c r="I27" s="252"/>
      <c r="J27" s="252"/>
      <c r="K27" s="252"/>
      <c r="L27" s="252"/>
      <c r="M27" s="252"/>
      <c r="N27" s="252"/>
      <c r="O27" s="252"/>
      <c r="P27" s="256"/>
      <c r="Q27" s="23">
        <f>SUM(CashPaidOut[[#This Row],[Period 0]:[Period 12]])</f>
        <v>0</v>
      </c>
      <c r="R27" s="23"/>
      <c r="S27" s="231"/>
      <c r="T27" s="233"/>
      <c r="U27" s="223"/>
    </row>
    <row r="28" spans="1:21" x14ac:dyDescent="0.2">
      <c r="A28" s="21" t="s">
        <v>220</v>
      </c>
      <c r="B28" s="13"/>
      <c r="C28" s="252"/>
      <c r="D28" s="252"/>
      <c r="E28" s="252"/>
      <c r="F28" s="260"/>
      <c r="G28" s="252"/>
      <c r="H28" s="252"/>
      <c r="I28" s="252"/>
      <c r="J28" s="252"/>
      <c r="K28" s="252"/>
      <c r="L28" s="252"/>
      <c r="M28" s="252"/>
      <c r="N28" s="252"/>
      <c r="O28" s="252"/>
      <c r="P28" s="256"/>
      <c r="Q28" s="23">
        <f>SUM(CashPaidOut[[#This Row],[Period 0]:[Period 12]])</f>
        <v>0</v>
      </c>
      <c r="R28" s="23"/>
      <c r="S28" s="231"/>
      <c r="T28" s="233"/>
      <c r="U28" s="223"/>
    </row>
    <row r="29" spans="1:21" x14ac:dyDescent="0.2">
      <c r="A29" s="21" t="s">
        <v>221</v>
      </c>
      <c r="B29" s="13"/>
      <c r="C29" s="252"/>
      <c r="D29" s="252"/>
      <c r="E29" s="252"/>
      <c r="F29" s="260"/>
      <c r="G29" s="252"/>
      <c r="H29" s="252"/>
      <c r="I29" s="252"/>
      <c r="J29" s="252"/>
      <c r="K29" s="252"/>
      <c r="L29" s="252"/>
      <c r="M29" s="252"/>
      <c r="N29" s="252"/>
      <c r="O29" s="252"/>
      <c r="P29" s="256"/>
      <c r="Q29" s="23">
        <f>SUM(CashPaidOut[[#This Row],[Period 0]:[Period 12]])</f>
        <v>0</v>
      </c>
      <c r="R29" s="23"/>
      <c r="S29" s="231"/>
      <c r="T29" s="233"/>
      <c r="U29" s="223"/>
    </row>
    <row r="30" spans="1:21" x14ac:dyDescent="0.2">
      <c r="A30" s="21" t="s">
        <v>222</v>
      </c>
      <c r="B30" s="13"/>
      <c r="C30" s="252"/>
      <c r="D30" s="252"/>
      <c r="E30" s="252"/>
      <c r="F30" s="260"/>
      <c r="G30" s="252"/>
      <c r="H30" s="252"/>
      <c r="I30" s="252"/>
      <c r="J30" s="252"/>
      <c r="K30" s="252"/>
      <c r="L30" s="252"/>
      <c r="M30" s="252"/>
      <c r="N30" s="252"/>
      <c r="O30" s="252"/>
      <c r="P30" s="256"/>
      <c r="Q30" s="23">
        <f>SUM(CashPaidOut[[#This Row],[Period 0]:[Period 12]])</f>
        <v>0</v>
      </c>
      <c r="R30" s="23"/>
      <c r="S30" s="231"/>
      <c r="T30" s="233"/>
      <c r="U30" s="223"/>
    </row>
    <row r="31" spans="1:21" x14ac:dyDescent="0.2">
      <c r="A31" s="21" t="s">
        <v>223</v>
      </c>
      <c r="B31" s="13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2"/>
      <c r="Q31" s="23">
        <f>SUM(CashPaidOut[[#This Row],[Period 0]:[Period 12]])</f>
        <v>0</v>
      </c>
      <c r="R31" s="23"/>
      <c r="S31" s="231"/>
      <c r="T31" s="233"/>
      <c r="U31" s="223"/>
    </row>
    <row r="32" spans="1:21" x14ac:dyDescent="0.2">
      <c r="A32" s="21" t="s">
        <v>224</v>
      </c>
      <c r="B32" s="13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2"/>
      <c r="Q32" s="23">
        <f>SUM(CashPaidOut[[#This Row],[Period 0]:[Period 12]])</f>
        <v>0</v>
      </c>
      <c r="R32" s="23"/>
      <c r="S32" s="231"/>
      <c r="T32" s="233"/>
      <c r="U32" s="223"/>
    </row>
    <row r="33" spans="1:21" x14ac:dyDescent="0.2">
      <c r="A33" s="21" t="s">
        <v>225</v>
      </c>
      <c r="B33" s="13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6"/>
      <c r="Q33" s="23">
        <f>SUM(CashPaidOut[[#This Row],[Period 0]:[Period 12]])</f>
        <v>0</v>
      </c>
      <c r="R33" s="23"/>
      <c r="S33" s="231"/>
      <c r="T33" s="233"/>
      <c r="U33" s="223"/>
    </row>
    <row r="34" spans="1:21" x14ac:dyDescent="0.2">
      <c r="A34" s="21" t="s">
        <v>233</v>
      </c>
      <c r="B34" s="13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2"/>
      <c r="Q34" s="23">
        <f>SUM(CashPaidOut[[#This Row],[Period 0]:[Period 12]])</f>
        <v>0</v>
      </c>
      <c r="R34" s="23"/>
      <c r="S34" s="231"/>
      <c r="T34" s="233"/>
      <c r="U34" s="223"/>
    </row>
    <row r="35" spans="1:21" x14ac:dyDescent="0.2">
      <c r="A35" s="21" t="s">
        <v>195</v>
      </c>
      <c r="B35" s="13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2"/>
      <c r="Q35" s="23">
        <f>SUM(CashPaidOut[[#This Row],[Period 0]:[Period 12]])</f>
        <v>0</v>
      </c>
      <c r="R35" s="23"/>
      <c r="S35" s="231"/>
      <c r="T35" s="233"/>
      <c r="U35" s="223"/>
    </row>
    <row r="36" spans="1:21" x14ac:dyDescent="0.2">
      <c r="A36" s="21" t="s">
        <v>227</v>
      </c>
      <c r="B36" s="13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2"/>
      <c r="Q36" s="23">
        <f>SUM(CashPaidOut[[#This Row],[Period 0]:[Period 12]])</f>
        <v>0</v>
      </c>
      <c r="R36" s="23"/>
      <c r="S36" s="231"/>
      <c r="T36" s="233"/>
      <c r="U36" s="223"/>
    </row>
    <row r="37" spans="1:21" x14ac:dyDescent="0.2">
      <c r="A37" s="21" t="s">
        <v>228</v>
      </c>
      <c r="B37" s="13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2"/>
      <c r="Q37" s="23">
        <f>SUM(CashPaidOut[[#This Row],[Period 0]:[Period 12]])</f>
        <v>0</v>
      </c>
      <c r="R37" s="23"/>
      <c r="S37" s="231"/>
      <c r="T37" s="233"/>
      <c r="U37" s="223"/>
    </row>
    <row r="38" spans="1:21" x14ac:dyDescent="0.2">
      <c r="A38" s="21" t="s">
        <v>210</v>
      </c>
      <c r="B38" s="13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6"/>
      <c r="Q38" s="23">
        <f>SUM(CashPaidOut[[#This Row],[Period 0]:[Period 12]])</f>
        <v>0</v>
      </c>
      <c r="R38" s="23"/>
      <c r="S38" s="231"/>
      <c r="T38" s="233"/>
      <c r="U38" s="223"/>
    </row>
    <row r="39" spans="1:21" ht="16" x14ac:dyDescent="0.2">
      <c r="A39" s="21" t="s">
        <v>197</v>
      </c>
      <c r="B39" s="13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2"/>
      <c r="Q39" s="23">
        <f>SUM(CashPaidOut[[#This Row],[Period 0]:[Period 12]])</f>
        <v>0</v>
      </c>
      <c r="R39" s="23"/>
      <c r="S39" s="232"/>
      <c r="T39" s="234"/>
      <c r="U39" s="224"/>
    </row>
    <row r="40" spans="1:21" x14ac:dyDescent="0.2">
      <c r="A40" s="24" t="s">
        <v>198</v>
      </c>
      <c r="B40" s="13"/>
      <c r="C40" s="23">
        <f>SUBTOTAL(109,CashPaidOut[Period 0])</f>
        <v>0</v>
      </c>
      <c r="D40" s="23">
        <f>SUBTOTAL(109,CashPaidOut[Period 1])</f>
        <v>0</v>
      </c>
      <c r="E40" s="23">
        <f>SUBTOTAL(109,CashPaidOut[Period 2])</f>
        <v>0</v>
      </c>
      <c r="F40" s="23">
        <f>SUBTOTAL(109,CashPaidOut[Period 3])</f>
        <v>0</v>
      </c>
      <c r="G40" s="23">
        <f>SUBTOTAL(109,CashPaidOut[Period 4])</f>
        <v>0</v>
      </c>
      <c r="H40" s="23">
        <f>SUBTOTAL(109,CashPaidOut[Period 5])</f>
        <v>0</v>
      </c>
      <c r="I40" s="23">
        <f>SUBTOTAL(109,CashPaidOut[Period 6])</f>
        <v>0</v>
      </c>
      <c r="J40" s="23">
        <f>SUBTOTAL(109,CashPaidOut[Period 7])</f>
        <v>0</v>
      </c>
      <c r="K40" s="23">
        <f>SUBTOTAL(109,CashPaidOut[Period 8])</f>
        <v>0</v>
      </c>
      <c r="L40" s="23">
        <f>SUBTOTAL(109,CashPaidOut[Period 9])</f>
        <v>0</v>
      </c>
      <c r="M40" s="23">
        <f>SUBTOTAL(109,CashPaidOut[Period 10])</f>
        <v>0</v>
      </c>
      <c r="N40" s="23">
        <f>SUBTOTAL(109,CashPaidOut[Period 11])</f>
        <v>0</v>
      </c>
      <c r="O40" s="23">
        <f>SUBTOTAL(109,CashPaidOut[Period 12])</f>
        <v>0</v>
      </c>
      <c r="P40" s="22"/>
      <c r="Q40" s="23">
        <f>SUBTOTAL(109,CashPaidOut[Total])</f>
        <v>0</v>
      </c>
      <c r="R40" s="7"/>
      <c r="S40" s="231"/>
      <c r="T40" s="233"/>
      <c r="U40" s="223"/>
    </row>
    <row r="41" spans="1:21" x14ac:dyDescent="0.2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231"/>
      <c r="T41" s="233"/>
      <c r="U41" s="223"/>
    </row>
    <row r="42" spans="1:21" x14ac:dyDescent="0.2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231"/>
      <c r="T42" s="233"/>
      <c r="U42" s="223"/>
    </row>
    <row r="43" spans="1:21" ht="16" thickBot="1" x14ac:dyDescent="0.25">
      <c r="A43" s="253" t="s">
        <v>199</v>
      </c>
      <c r="B43" s="18"/>
      <c r="C43" s="257">
        <f t="shared" ref="C43:O43" si="1">C13-C40</f>
        <v>0</v>
      </c>
      <c r="D43" s="257">
        <f t="shared" si="1"/>
        <v>0</v>
      </c>
      <c r="E43" s="257">
        <f t="shared" si="1"/>
        <v>0</v>
      </c>
      <c r="F43" s="257">
        <f t="shared" si="1"/>
        <v>0</v>
      </c>
      <c r="G43" s="257">
        <f t="shared" si="1"/>
        <v>0</v>
      </c>
      <c r="H43" s="257">
        <f t="shared" si="1"/>
        <v>0</v>
      </c>
      <c r="I43" s="257">
        <f t="shared" si="1"/>
        <v>0</v>
      </c>
      <c r="J43" s="257">
        <f t="shared" si="1"/>
        <v>0</v>
      </c>
      <c r="K43" s="257">
        <f t="shared" si="1"/>
        <v>0</v>
      </c>
      <c r="L43" s="257">
        <f t="shared" si="1"/>
        <v>0</v>
      </c>
      <c r="M43" s="257">
        <f t="shared" si="1"/>
        <v>0</v>
      </c>
      <c r="N43" s="257">
        <f t="shared" si="1"/>
        <v>0</v>
      </c>
      <c r="O43" s="257">
        <f t="shared" si="1"/>
        <v>0</v>
      </c>
      <c r="P43" s="18"/>
      <c r="Q43" s="257">
        <f>Q13-Q40</f>
        <v>0</v>
      </c>
      <c r="R43" s="258"/>
      <c r="S43" s="231"/>
      <c r="T43" s="233"/>
      <c r="U43" s="223"/>
    </row>
    <row r="44" spans="1:21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5"/>
      <c r="T44" s="136"/>
      <c r="U44" s="225"/>
    </row>
    <row r="45" spans="1:21" ht="16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136"/>
      <c r="T45" s="136"/>
      <c r="U45" s="225"/>
    </row>
    <row r="46" spans="1:21" ht="16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136"/>
      <c r="T46" s="136"/>
      <c r="U46" s="225"/>
    </row>
    <row r="47" spans="1:2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36"/>
      <c r="T47" s="136"/>
    </row>
    <row r="48" spans="1:21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1:18" x14ac:dyDescent="0.2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</sheetData>
  <mergeCells count="3">
    <mergeCell ref="A14:R14"/>
    <mergeCell ref="A41:R41"/>
    <mergeCell ref="A42:R42"/>
  </mergeCells>
  <conditionalFormatting sqref="D13:O13">
    <cfRule type="expression" dxfId="254" priority="1">
      <formula>D13&lt;0</formula>
    </cfRule>
  </conditionalFormatting>
  <conditionalFormatting sqref="D6:O6">
    <cfRule type="expression" dxfId="253" priority="3">
      <formula>D6&lt;0</formula>
    </cfRule>
  </conditionalFormatting>
  <conditionalFormatting sqref="D43:O43">
    <cfRule type="expression" dxfId="252" priority="2">
      <formula>D43&lt;0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00CC9DC-1E79-4AAC-BBB7-50BAAD5897F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5" id="{820F58C5-30A7-41F1-9AA6-45078BC34B3C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6" id="{40A9D98B-B5D9-4E0B-B10C-60FB34B2D25E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Q43 C43:O43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7DC4E7A-18B8-4586-BA73-BA015CCBE116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Kassavirtalaskelma1v!C43:O43</xm:f>
              <xm:sqref>R43</xm:sqref>
            </x14:sparkline>
            <x14:sparkline>
              <xm:f>Kassavirtalaskelma1v!C13:O13</xm:f>
              <xm:sqref>R13</xm:sqref>
            </x14:sparkline>
            <x14:sparkline>
              <xm:f>Kassavirtalaskelma1v!C40:O40</xm:f>
              <xm:sqref>R40</xm:sqref>
            </x14:sparkline>
            <x14:sparkline>
              <xm:f>Kassavirtalaskelma1v!C6:O6</xm:f>
              <xm:sqref>R6</xm:sqref>
            </x14:sparkline>
            <x14:sparkline>
              <xm:f>Kassavirtalaskelma1v!C12:O12</xm:f>
              <xm:sqref>R12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2289-EBE6-4454-A1AD-C694C2B3F1B5}">
  <dimension ref="A1:U50"/>
  <sheetViews>
    <sheetView topLeftCell="A31" workbookViewId="0">
      <selection activeCell="Q43" sqref="Q43"/>
    </sheetView>
  </sheetViews>
  <sheetFormatPr baseColWidth="10" defaultColWidth="8.83203125" defaultRowHeight="15" x14ac:dyDescent="0.2"/>
  <cols>
    <col min="1" max="1" width="29.83203125" customWidth="1"/>
    <col min="2" max="2" width="2" customWidth="1"/>
    <col min="3" max="3" width="8.83203125" bestFit="1" customWidth="1"/>
    <col min="4" max="4" width="8.5" customWidth="1"/>
    <col min="5" max="8" width="8.6640625" bestFit="1" customWidth="1"/>
    <col min="9" max="9" width="9.83203125" customWidth="1"/>
    <col min="10" max="10" width="8.6640625" bestFit="1" customWidth="1"/>
    <col min="11" max="11" width="10.83203125" customWidth="1"/>
    <col min="12" max="12" width="10" customWidth="1"/>
    <col min="13" max="13" width="10.1640625" customWidth="1"/>
    <col min="14" max="14" width="8.6640625" bestFit="1" customWidth="1"/>
    <col min="15" max="15" width="1.83203125" customWidth="1"/>
    <col min="16" max="16" width="2.1640625" customWidth="1"/>
    <col min="17" max="17" width="11.5" customWidth="1"/>
  </cols>
  <sheetData>
    <row r="1" spans="1:21" ht="22" thickBot="1" x14ac:dyDescent="0.3">
      <c r="A1" s="227" t="s">
        <v>207</v>
      </c>
      <c r="B1" s="226"/>
      <c r="C1" s="22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4"/>
      <c r="U1" s="4"/>
    </row>
    <row r="2" spans="1:21" ht="16" thickTop="1" x14ac:dyDescent="0.2">
      <c r="A2" s="8" t="s">
        <v>200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7"/>
      <c r="R2" s="7"/>
      <c r="S2" s="231"/>
      <c r="T2" s="233"/>
      <c r="U2" s="223"/>
    </row>
    <row r="3" spans="1:21" x14ac:dyDescent="0.2">
      <c r="A3" s="235" t="s">
        <v>191</v>
      </c>
      <c r="B3" s="236"/>
      <c r="C3" s="238" t="str">
        <f>UPPER(TEXT(FiscalYearStartDate,"kkk"))</f>
        <v>KKK</v>
      </c>
      <c r="D3" s="238" t="str">
        <f>UPPER(TEXT(EOMONTH(FiscalYearStartDate,1),"kkk"))</f>
        <v>KKK</v>
      </c>
      <c r="E3" s="238" t="str">
        <f>UPPER(TEXT(EOMONTH(FiscalYearStartDate,2),"kkk"))</f>
        <v>KKK</v>
      </c>
      <c r="F3" s="238" t="str">
        <f>UPPER(TEXT(EOMONTH(FiscalYearStartDate,3),"kkk"))</f>
        <v>KKK</v>
      </c>
      <c r="G3" s="238" t="str">
        <f>UPPER(TEXT(EOMONTH(FiscalYearStartDate,4),"kkk"))</f>
        <v>KKK</v>
      </c>
      <c r="H3" s="238" t="str">
        <f>UPPER(TEXT(EOMONTH(FiscalYearStartDate,5),"kkk"))</f>
        <v>KKK</v>
      </c>
      <c r="I3" s="238" t="str">
        <f>UPPER(TEXT(EOMONTH(FiscalYearStartDate,6),"kkk"))</f>
        <v>KKK</v>
      </c>
      <c r="J3" s="238" t="str">
        <f>UPPER(TEXT(EOMONTH(FiscalYearStartDate,7),"kkk"))</f>
        <v>KKK</v>
      </c>
      <c r="K3" s="238" t="str">
        <f>UPPER(TEXT(EOMONTH(FiscalYearStartDate,8),"kkk"))</f>
        <v>KKK</v>
      </c>
      <c r="L3" s="238" t="str">
        <f>UPPER(TEXT(EOMONTH(FiscalYearStartDate,9),"kkk"))</f>
        <v>KKK</v>
      </c>
      <c r="M3" s="238" t="str">
        <f>UPPER(TEXT(EOMONTH(FiscalYearStartDate,10),"kkk"))</f>
        <v>KKK</v>
      </c>
      <c r="N3" s="238" t="str">
        <f>UPPER(TEXT(EOMONTH(FiscalYearStartDate,11),"kkk"))</f>
        <v>KKK</v>
      </c>
      <c r="P3" s="239"/>
      <c r="Q3" s="237" t="s">
        <v>17</v>
      </c>
      <c r="R3" s="7"/>
      <c r="S3" s="231"/>
      <c r="T3" s="233"/>
      <c r="U3" s="223"/>
    </row>
    <row r="4" spans="1:21" ht="16" thickBot="1" x14ac:dyDescent="0.25">
      <c r="A4" s="240">
        <v>44075</v>
      </c>
      <c r="B4" s="8"/>
      <c r="C4" s="242">
        <v>1</v>
      </c>
      <c r="D4" s="242">
        <v>2</v>
      </c>
      <c r="E4" s="242">
        <v>3</v>
      </c>
      <c r="F4" s="242">
        <v>4</v>
      </c>
      <c r="G4" s="242">
        <v>5</v>
      </c>
      <c r="H4" s="242">
        <v>6</v>
      </c>
      <c r="I4" s="242">
        <v>7</v>
      </c>
      <c r="J4" s="242">
        <v>8</v>
      </c>
      <c r="K4" s="242">
        <v>9</v>
      </c>
      <c r="L4" s="242">
        <v>10</v>
      </c>
      <c r="M4" s="242">
        <v>11</v>
      </c>
      <c r="N4" s="242">
        <v>12</v>
      </c>
      <c r="P4" s="243"/>
      <c r="Q4" s="244" t="s">
        <v>193</v>
      </c>
      <c r="R4" s="7"/>
      <c r="S4" s="231"/>
      <c r="T4" s="233"/>
      <c r="U4" s="223"/>
    </row>
    <row r="5" spans="1:21" ht="16" thickTop="1" x14ac:dyDescent="0.2">
      <c r="A5" s="10"/>
      <c r="B5" s="7"/>
      <c r="C5" s="11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  <c r="Q5" s="11"/>
      <c r="R5" s="7"/>
      <c r="S5" s="231"/>
      <c r="T5" s="233"/>
      <c r="U5" s="261"/>
    </row>
    <row r="6" spans="1:21" ht="16" thickBot="1" x14ac:dyDescent="0.25">
      <c r="A6" s="259" t="s">
        <v>208</v>
      </c>
      <c r="B6" s="7"/>
      <c r="C6" s="247">
        <f>Kassavirtalaskelma1v!O43</f>
        <v>0</v>
      </c>
      <c r="D6" s="247">
        <f>C43</f>
        <v>0</v>
      </c>
      <c r="E6" s="247">
        <f t="shared" ref="E6:N6" si="0">D43</f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0</v>
      </c>
      <c r="O6" s="247"/>
      <c r="P6" s="12"/>
      <c r="Q6" s="247">
        <f>N6</f>
        <v>0</v>
      </c>
      <c r="R6" s="248"/>
      <c r="S6" s="231"/>
      <c r="T6" s="233"/>
      <c r="U6" s="223"/>
    </row>
    <row r="7" spans="1:21" x14ac:dyDescent="0.2">
      <c r="A7" s="7"/>
      <c r="B7" s="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3"/>
      <c r="Q7" s="23"/>
      <c r="R7" s="7"/>
      <c r="S7" s="231"/>
      <c r="T7" s="233"/>
      <c r="U7" s="223"/>
    </row>
    <row r="8" spans="1:21" ht="16" thickBot="1" x14ac:dyDescent="0.25">
      <c r="A8" s="249" t="s">
        <v>194</v>
      </c>
      <c r="B8" s="7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13"/>
      <c r="Q8" s="250"/>
      <c r="R8" s="251"/>
      <c r="S8" s="231"/>
      <c r="T8" s="233"/>
      <c r="U8" s="223"/>
    </row>
    <row r="9" spans="1:21" ht="16" thickTop="1" x14ac:dyDescent="0.2">
      <c r="A9" s="14" t="s">
        <v>229</v>
      </c>
      <c r="B9" s="13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15"/>
      <c r="Q9" s="23">
        <f>SUM(CashReceipts2[[#This Row],[Period 0]:[Period 12]])</f>
        <v>0</v>
      </c>
      <c r="R9" s="7"/>
      <c r="S9" s="231"/>
      <c r="T9" s="233"/>
      <c r="U9" s="223"/>
    </row>
    <row r="10" spans="1:21" x14ac:dyDescent="0.2">
      <c r="A10" s="14" t="s">
        <v>230</v>
      </c>
      <c r="B10" s="13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15"/>
      <c r="Q10" s="23">
        <f>SUM(CashReceipts2[[#This Row],[Period 0]:[Period 12]])</f>
        <v>0</v>
      </c>
      <c r="R10" s="7"/>
      <c r="S10" s="231"/>
      <c r="T10" s="233"/>
      <c r="U10" s="223"/>
    </row>
    <row r="11" spans="1:21" x14ac:dyDescent="0.2">
      <c r="A11" s="14" t="s">
        <v>231</v>
      </c>
      <c r="B11" s="16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15"/>
      <c r="Q11" s="23">
        <f>SUM(CashReceipts2[[#This Row],[Period 0]:[Period 12]])</f>
        <v>0</v>
      </c>
      <c r="R11" s="7"/>
      <c r="S11" s="231"/>
      <c r="T11" s="233"/>
      <c r="U11" s="223"/>
    </row>
    <row r="12" spans="1:21" ht="16" thickBot="1" x14ac:dyDescent="0.25">
      <c r="A12" s="14" t="s">
        <v>17</v>
      </c>
      <c r="B12" s="17"/>
      <c r="C12" s="23">
        <f>SUBTOTAL(109,CashReceipts2[Period 0])</f>
        <v>0</v>
      </c>
      <c r="D12" s="23">
        <f>SUBTOTAL(109,CashReceipts2[Period 1])</f>
        <v>0</v>
      </c>
      <c r="E12" s="23">
        <f>SUBTOTAL(109,CashReceipts2[Period 2])</f>
        <v>0</v>
      </c>
      <c r="F12" s="23">
        <f>SUBTOTAL(109,CashReceipts2[Period 3])</f>
        <v>0</v>
      </c>
      <c r="G12" s="23">
        <f>SUBTOTAL(109,CashReceipts2[Period 4])</f>
        <v>0</v>
      </c>
      <c r="H12" s="23">
        <f>SUBTOTAL(109,CashReceipts2[Period 5])</f>
        <v>0</v>
      </c>
      <c r="I12" s="23">
        <f>SUBTOTAL(109,CashReceipts2[Period 6])</f>
        <v>0</v>
      </c>
      <c r="J12" s="23">
        <f>SUBTOTAL(109,CashReceipts2[Period 7])</f>
        <v>0</v>
      </c>
      <c r="K12" s="23">
        <f>SUBTOTAL(109,CashReceipts2[Period 8])</f>
        <v>0</v>
      </c>
      <c r="L12" s="23">
        <f>SUBTOTAL(109,CashReceipts2[Period 9])</f>
        <v>0</v>
      </c>
      <c r="M12" s="23">
        <f>SUBTOTAL(109,CashReceipts2[Period 10])</f>
        <v>0</v>
      </c>
      <c r="N12" s="23">
        <f>SUBTOTAL(109,CashReceipts2[Period 11])</f>
        <v>0</v>
      </c>
      <c r="O12" s="23"/>
      <c r="P12" s="15"/>
      <c r="Q12" s="23">
        <f>SUBTOTAL(109,CashReceipts2[Total])</f>
        <v>0</v>
      </c>
      <c r="R12" s="7"/>
      <c r="S12" s="231"/>
      <c r="T12" s="233"/>
      <c r="U12" s="223"/>
    </row>
    <row r="13" spans="1:21" ht="17" thickTop="1" thickBot="1" x14ac:dyDescent="0.25">
      <c r="A13" s="253" t="s">
        <v>209</v>
      </c>
      <c r="B13" s="18"/>
      <c r="C13" s="254">
        <f>C6+SUM(CashReceipts2[Period 0])</f>
        <v>0</v>
      </c>
      <c r="D13" s="254">
        <f>D6+SUM(CashReceipts2[Period 1])</f>
        <v>0</v>
      </c>
      <c r="E13" s="254">
        <f>E6+SUM(CashReceipts2[Period 2])</f>
        <v>0</v>
      </c>
      <c r="F13" s="254">
        <f>F6+SUM(CashReceipts2[Period 3])</f>
        <v>0</v>
      </c>
      <c r="G13" s="254">
        <f>G6+SUM(CashReceipts2[Period 4])</f>
        <v>0</v>
      </c>
      <c r="H13" s="254">
        <f>H6+SUM(CashReceipts2[Period 5])</f>
        <v>0</v>
      </c>
      <c r="I13" s="254">
        <f>I6+SUM(CashReceipts2[Period 6])</f>
        <v>0</v>
      </c>
      <c r="J13" s="254">
        <f>J6+SUM(CashReceipts2[Period 7])</f>
        <v>0</v>
      </c>
      <c r="K13" s="254">
        <f>K6+SUM(CashReceipts2[Period 8])</f>
        <v>0</v>
      </c>
      <c r="L13" s="254">
        <f>L6+SUM(CashReceipts2[Period 9])</f>
        <v>0</v>
      </c>
      <c r="M13" s="254">
        <f>M6+SUM(CashReceipts2[Period 10])</f>
        <v>0</v>
      </c>
      <c r="N13" s="254">
        <f>N6+SUM(CashReceipts2[Period 11])</f>
        <v>0</v>
      </c>
      <c r="O13" s="254"/>
      <c r="P13" s="19"/>
      <c r="Q13" s="254">
        <f>Q6+SUM(CashReceipts2[Total])</f>
        <v>0</v>
      </c>
      <c r="R13" s="20"/>
      <c r="S13" s="231"/>
      <c r="T13" s="233"/>
      <c r="U13" s="223"/>
    </row>
    <row r="14" spans="1:21" x14ac:dyDescent="0.2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231"/>
      <c r="T14" s="233"/>
      <c r="U14" s="223"/>
    </row>
    <row r="15" spans="1:21" ht="16" thickBot="1" x14ac:dyDescent="0.25">
      <c r="A15" s="255" t="s">
        <v>232</v>
      </c>
      <c r="B15" s="13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13"/>
      <c r="Q15" s="251"/>
      <c r="R15" s="251"/>
      <c r="S15" s="231"/>
      <c r="T15" s="233"/>
      <c r="U15" s="223"/>
    </row>
    <row r="16" spans="1:21" ht="16" thickTop="1" x14ac:dyDescent="0.2">
      <c r="A16" s="21" t="s">
        <v>213</v>
      </c>
      <c r="B16" s="13"/>
      <c r="C16" s="252"/>
      <c r="D16" s="252"/>
      <c r="E16" s="252"/>
      <c r="F16" s="260"/>
      <c r="G16" s="252"/>
      <c r="H16" s="252"/>
      <c r="I16" s="252"/>
      <c r="J16" s="252"/>
      <c r="K16" s="252"/>
      <c r="L16" s="252"/>
      <c r="M16" s="252"/>
      <c r="N16" s="252"/>
      <c r="O16" s="252"/>
      <c r="P16" s="256"/>
      <c r="Q16" s="23">
        <f>SUM(CashPaidOut3[[#This Row],[Period 0]:[Period 12]])</f>
        <v>0</v>
      </c>
      <c r="R16" s="23"/>
      <c r="S16" s="231"/>
      <c r="T16" s="233"/>
      <c r="U16" s="223"/>
    </row>
    <row r="17" spans="1:21" x14ac:dyDescent="0.2">
      <c r="A17" s="21" t="s">
        <v>214</v>
      </c>
      <c r="B17" s="13"/>
      <c r="C17" s="252"/>
      <c r="D17" s="252"/>
      <c r="E17" s="252"/>
      <c r="F17" s="260"/>
      <c r="G17" s="252"/>
      <c r="H17" s="252"/>
      <c r="I17" s="252"/>
      <c r="J17" s="252"/>
      <c r="K17" s="252"/>
      <c r="L17" s="252"/>
      <c r="M17" s="252"/>
      <c r="N17" s="252"/>
      <c r="O17" s="252"/>
      <c r="P17" s="256"/>
      <c r="Q17" s="23">
        <f>SUM(CashPaidOut3[[#This Row],[Period 0]:[Period 12]])</f>
        <v>0</v>
      </c>
      <c r="R17" s="23"/>
      <c r="S17" s="231"/>
      <c r="T17" s="233"/>
      <c r="U17" s="223"/>
    </row>
    <row r="18" spans="1:21" x14ac:dyDescent="0.2">
      <c r="A18" s="21" t="s">
        <v>215</v>
      </c>
      <c r="B18" s="13"/>
      <c r="C18" s="252"/>
      <c r="D18" s="252"/>
      <c r="E18" s="252"/>
      <c r="F18" s="260"/>
      <c r="G18" s="252"/>
      <c r="H18" s="252"/>
      <c r="I18" s="252"/>
      <c r="J18" s="252"/>
      <c r="K18" s="252"/>
      <c r="L18" s="252"/>
      <c r="M18" s="252"/>
      <c r="N18" s="252"/>
      <c r="O18" s="252"/>
      <c r="P18" s="256"/>
      <c r="Q18" s="23">
        <f>SUM(CashPaidOut3[[#This Row],[Period 0]:[Period 12]])</f>
        <v>0</v>
      </c>
      <c r="R18" s="23"/>
      <c r="S18" s="231"/>
      <c r="T18" s="233"/>
      <c r="U18" s="223"/>
    </row>
    <row r="19" spans="1:21" x14ac:dyDescent="0.2">
      <c r="A19" s="21" t="s">
        <v>216</v>
      </c>
      <c r="B19" s="13"/>
      <c r="C19" s="252"/>
      <c r="D19" s="252"/>
      <c r="E19" s="252"/>
      <c r="F19" s="260"/>
      <c r="G19" s="252"/>
      <c r="H19" s="252"/>
      <c r="I19" s="252"/>
      <c r="J19" s="252"/>
      <c r="K19" s="252"/>
      <c r="L19" s="252"/>
      <c r="M19" s="252"/>
      <c r="N19" s="252"/>
      <c r="O19" s="252"/>
      <c r="P19" s="256"/>
      <c r="Q19" s="23">
        <f>SUM(CashPaidOut3[[#This Row],[Period 0]:[Period 12]])</f>
        <v>0</v>
      </c>
      <c r="R19" s="23"/>
      <c r="S19" s="231"/>
      <c r="T19" s="233"/>
      <c r="U19" s="223"/>
    </row>
    <row r="20" spans="1:21" x14ac:dyDescent="0.2">
      <c r="A20" s="21" t="s">
        <v>217</v>
      </c>
      <c r="B20" s="13"/>
      <c r="C20" s="252"/>
      <c r="D20" s="252"/>
      <c r="E20" s="252"/>
      <c r="F20" s="260"/>
      <c r="G20" s="252"/>
      <c r="H20" s="252"/>
      <c r="I20" s="252"/>
      <c r="J20" s="252"/>
      <c r="K20" s="252"/>
      <c r="L20" s="252"/>
      <c r="M20" s="252"/>
      <c r="N20" s="252"/>
      <c r="O20" s="252"/>
      <c r="P20" s="256"/>
      <c r="Q20" s="23">
        <f>SUM(CashPaidOut3[[#This Row],[Period 0]:[Period 12]])</f>
        <v>0</v>
      </c>
      <c r="R20" s="23"/>
      <c r="S20" s="231"/>
      <c r="T20" s="233"/>
      <c r="U20" s="223"/>
    </row>
    <row r="21" spans="1:21" x14ac:dyDescent="0.2">
      <c r="A21" s="21" t="s">
        <v>120</v>
      </c>
      <c r="B21" s="13"/>
      <c r="C21" s="252"/>
      <c r="D21" s="252"/>
      <c r="E21" s="252"/>
      <c r="F21" s="260"/>
      <c r="G21" s="252"/>
      <c r="H21" s="252"/>
      <c r="I21" s="252"/>
      <c r="J21" s="252"/>
      <c r="K21" s="252"/>
      <c r="L21" s="252"/>
      <c r="M21" s="252"/>
      <c r="N21" s="252"/>
      <c r="O21" s="252"/>
      <c r="P21" s="256"/>
      <c r="Q21" s="23">
        <f>SUM(CashPaidOut3[[#This Row],[Period 0]:[Period 12]])</f>
        <v>0</v>
      </c>
      <c r="R21" s="23"/>
      <c r="S21" s="231"/>
      <c r="T21" s="233"/>
      <c r="U21" s="223"/>
    </row>
    <row r="22" spans="1:21" x14ac:dyDescent="0.2">
      <c r="A22" s="21" t="s">
        <v>218</v>
      </c>
      <c r="B22" s="13"/>
      <c r="C22" s="252"/>
      <c r="D22" s="252"/>
      <c r="E22" s="252"/>
      <c r="F22" s="260"/>
      <c r="G22" s="252"/>
      <c r="H22" s="252"/>
      <c r="I22" s="252"/>
      <c r="J22" s="252"/>
      <c r="K22" s="252"/>
      <c r="L22" s="252"/>
      <c r="M22" s="252"/>
      <c r="N22" s="252"/>
      <c r="O22" s="252"/>
      <c r="P22" s="256"/>
      <c r="Q22" s="23">
        <f>SUM(CashPaidOut3[[#This Row],[Period 0]:[Period 12]])</f>
        <v>0</v>
      </c>
      <c r="R22" s="23"/>
      <c r="S22" s="231"/>
      <c r="T22" s="233"/>
      <c r="U22" s="223"/>
    </row>
    <row r="23" spans="1:21" x14ac:dyDescent="0.2">
      <c r="A23" s="21" t="s">
        <v>196</v>
      </c>
      <c r="B23" s="13"/>
      <c r="C23" s="252"/>
      <c r="D23" s="252"/>
      <c r="E23" s="252"/>
      <c r="F23" s="260"/>
      <c r="G23" s="252"/>
      <c r="H23" s="252"/>
      <c r="I23" s="252"/>
      <c r="J23" s="252"/>
      <c r="K23" s="252"/>
      <c r="L23" s="252"/>
      <c r="M23" s="252"/>
      <c r="N23" s="252"/>
      <c r="O23" s="252"/>
      <c r="P23" s="256"/>
      <c r="Q23" s="23">
        <f>SUM(CashPaidOut3[[#This Row],[Period 0]:[Period 12]])</f>
        <v>0</v>
      </c>
      <c r="R23" s="23"/>
      <c r="S23" s="231"/>
      <c r="T23" s="233"/>
      <c r="U23" s="223"/>
    </row>
    <row r="24" spans="1:21" x14ac:dyDescent="0.2">
      <c r="A24" s="21" t="s">
        <v>226</v>
      </c>
      <c r="B24" s="13"/>
      <c r="C24" s="252"/>
      <c r="D24" s="252"/>
      <c r="E24" s="252"/>
      <c r="F24" s="260"/>
      <c r="G24" s="252"/>
      <c r="H24" s="252"/>
      <c r="I24" s="252"/>
      <c r="J24" s="252"/>
      <c r="K24" s="252"/>
      <c r="L24" s="252"/>
      <c r="M24" s="252"/>
      <c r="N24" s="252"/>
      <c r="O24" s="252"/>
      <c r="P24" s="256"/>
      <c r="Q24" s="23">
        <f>SUM(CashPaidOut3[[#This Row],[Period 0]:[Period 12]])</f>
        <v>0</v>
      </c>
      <c r="R24" s="23"/>
      <c r="S24" s="231"/>
      <c r="T24" s="233"/>
      <c r="U24" s="223"/>
    </row>
    <row r="25" spans="1:21" x14ac:dyDescent="0.2">
      <c r="A25" s="21" t="s">
        <v>219</v>
      </c>
      <c r="B25" s="13"/>
      <c r="C25" s="252"/>
      <c r="D25" s="252"/>
      <c r="E25" s="252"/>
      <c r="F25" s="260"/>
      <c r="G25" s="252"/>
      <c r="H25" s="252"/>
      <c r="I25" s="252"/>
      <c r="J25" s="252"/>
      <c r="K25" s="252"/>
      <c r="L25" s="252"/>
      <c r="M25" s="252"/>
      <c r="N25" s="252"/>
      <c r="O25" s="252"/>
      <c r="P25" s="256"/>
      <c r="Q25" s="23">
        <f>SUM(CashPaidOut3[[#This Row],[Period 0]:[Period 12]])</f>
        <v>0</v>
      </c>
      <c r="R25" s="23"/>
      <c r="S25" s="231"/>
      <c r="T25" s="233"/>
      <c r="U25" s="223"/>
    </row>
    <row r="26" spans="1:21" x14ac:dyDescent="0.2">
      <c r="A26" s="21" t="s">
        <v>212</v>
      </c>
      <c r="B26" s="13"/>
      <c r="C26" s="252"/>
      <c r="D26" s="252"/>
      <c r="E26" s="252"/>
      <c r="F26" s="260"/>
      <c r="G26" s="252"/>
      <c r="H26" s="252"/>
      <c r="I26" s="252"/>
      <c r="J26" s="252"/>
      <c r="K26" s="252"/>
      <c r="L26" s="252"/>
      <c r="M26" s="252"/>
      <c r="N26" s="252"/>
      <c r="O26" s="252"/>
      <c r="P26" s="256"/>
      <c r="Q26" s="23">
        <f>SUM(CashPaidOut3[[#This Row],[Period 0]:[Period 12]])</f>
        <v>0</v>
      </c>
      <c r="R26" s="23"/>
      <c r="S26" s="231"/>
      <c r="T26" s="233"/>
      <c r="U26" s="223"/>
    </row>
    <row r="27" spans="1:21" x14ac:dyDescent="0.2">
      <c r="A27" s="21" t="s">
        <v>211</v>
      </c>
      <c r="B27" s="13"/>
      <c r="C27" s="252"/>
      <c r="D27" s="252"/>
      <c r="E27" s="252"/>
      <c r="F27" s="260"/>
      <c r="G27" s="252"/>
      <c r="H27" s="252"/>
      <c r="I27" s="252"/>
      <c r="J27" s="252"/>
      <c r="K27" s="252"/>
      <c r="L27" s="252"/>
      <c r="M27" s="252"/>
      <c r="N27" s="252"/>
      <c r="O27" s="252"/>
      <c r="P27" s="256"/>
      <c r="Q27" s="23">
        <f>SUM(CashPaidOut3[[#This Row],[Period 0]:[Period 12]])</f>
        <v>0</v>
      </c>
      <c r="R27" s="23"/>
      <c r="S27" s="231"/>
      <c r="T27" s="233"/>
      <c r="U27" s="223"/>
    </row>
    <row r="28" spans="1:21" x14ac:dyDescent="0.2">
      <c r="A28" s="21" t="s">
        <v>220</v>
      </c>
      <c r="B28" s="13"/>
      <c r="C28" s="252"/>
      <c r="D28" s="252"/>
      <c r="E28" s="252"/>
      <c r="F28" s="260"/>
      <c r="G28" s="252"/>
      <c r="H28" s="252"/>
      <c r="I28" s="252"/>
      <c r="J28" s="252"/>
      <c r="K28" s="252"/>
      <c r="L28" s="252"/>
      <c r="M28" s="252"/>
      <c r="N28" s="252"/>
      <c r="O28" s="252"/>
      <c r="P28" s="256"/>
      <c r="Q28" s="23">
        <f>SUM(CashPaidOut3[[#This Row],[Period 0]:[Period 12]])</f>
        <v>0</v>
      </c>
      <c r="R28" s="23"/>
      <c r="S28" s="231"/>
      <c r="T28" s="233"/>
      <c r="U28" s="223"/>
    </row>
    <row r="29" spans="1:21" x14ac:dyDescent="0.2">
      <c r="A29" s="21" t="s">
        <v>221</v>
      </c>
      <c r="B29" s="13"/>
      <c r="C29" s="252"/>
      <c r="D29" s="252"/>
      <c r="E29" s="252"/>
      <c r="F29" s="260"/>
      <c r="G29" s="252"/>
      <c r="H29" s="252"/>
      <c r="I29" s="252"/>
      <c r="J29" s="252"/>
      <c r="K29" s="252"/>
      <c r="L29" s="252"/>
      <c r="M29" s="252"/>
      <c r="N29" s="252"/>
      <c r="O29" s="252"/>
      <c r="P29" s="256"/>
      <c r="Q29" s="23">
        <f>SUM(CashPaidOut3[[#This Row],[Period 0]:[Period 12]])</f>
        <v>0</v>
      </c>
      <c r="R29" s="23"/>
      <c r="S29" s="231"/>
      <c r="T29" s="233"/>
      <c r="U29" s="223"/>
    </row>
    <row r="30" spans="1:21" x14ac:dyDescent="0.2">
      <c r="A30" s="21" t="s">
        <v>222</v>
      </c>
      <c r="B30" s="13"/>
      <c r="C30" s="252"/>
      <c r="D30" s="252"/>
      <c r="E30" s="252"/>
      <c r="F30" s="260"/>
      <c r="G30" s="252"/>
      <c r="H30" s="252"/>
      <c r="I30" s="252"/>
      <c r="J30" s="252"/>
      <c r="K30" s="252"/>
      <c r="L30" s="252"/>
      <c r="M30" s="252"/>
      <c r="N30" s="252"/>
      <c r="O30" s="252"/>
      <c r="P30" s="256"/>
      <c r="Q30" s="23">
        <f>SUM(CashPaidOut3[[#This Row],[Period 0]:[Period 12]])</f>
        <v>0</v>
      </c>
      <c r="R30" s="23"/>
      <c r="S30" s="231"/>
      <c r="T30" s="233"/>
      <c r="U30" s="223"/>
    </row>
    <row r="31" spans="1:21" x14ac:dyDescent="0.2">
      <c r="A31" s="21" t="s">
        <v>223</v>
      </c>
      <c r="B31" s="13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2"/>
      <c r="Q31" s="23">
        <f>SUM(CashPaidOut3[[#This Row],[Period 0]:[Period 12]])</f>
        <v>0</v>
      </c>
      <c r="R31" s="23"/>
      <c r="S31" s="231"/>
      <c r="T31" s="233"/>
      <c r="U31" s="223"/>
    </row>
    <row r="32" spans="1:21" x14ac:dyDescent="0.2">
      <c r="A32" s="21" t="s">
        <v>224</v>
      </c>
      <c r="B32" s="13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2"/>
      <c r="Q32" s="23">
        <f>SUM(CashPaidOut3[[#This Row],[Period 0]:[Period 12]])</f>
        <v>0</v>
      </c>
      <c r="R32" s="23"/>
      <c r="S32" s="231"/>
      <c r="T32" s="233"/>
      <c r="U32" s="223"/>
    </row>
    <row r="33" spans="1:21" x14ac:dyDescent="0.2">
      <c r="A33" s="21" t="s">
        <v>225</v>
      </c>
      <c r="B33" s="13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6"/>
      <c r="Q33" s="23">
        <f>SUM(CashPaidOut3[[#This Row],[Period 0]:[Period 12]])</f>
        <v>0</v>
      </c>
      <c r="R33" s="23"/>
      <c r="S33" s="231"/>
      <c r="T33" s="233"/>
      <c r="U33" s="223"/>
    </row>
    <row r="34" spans="1:21" x14ac:dyDescent="0.2">
      <c r="A34" s="21" t="s">
        <v>233</v>
      </c>
      <c r="B34" s="13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2"/>
      <c r="Q34" s="23">
        <f>SUM(CashPaidOut3[[#This Row],[Period 0]:[Period 12]])</f>
        <v>0</v>
      </c>
      <c r="R34" s="23"/>
      <c r="S34" s="231"/>
      <c r="T34" s="233"/>
      <c r="U34" s="223"/>
    </row>
    <row r="35" spans="1:21" x14ac:dyDescent="0.2">
      <c r="A35" s="21" t="s">
        <v>195</v>
      </c>
      <c r="B35" s="13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2"/>
      <c r="Q35" s="23">
        <f>SUM(CashPaidOut3[[#This Row],[Period 0]:[Period 12]])</f>
        <v>0</v>
      </c>
      <c r="R35" s="23"/>
      <c r="S35" s="231"/>
      <c r="T35" s="233"/>
      <c r="U35" s="223"/>
    </row>
    <row r="36" spans="1:21" x14ac:dyDescent="0.2">
      <c r="A36" s="21" t="s">
        <v>227</v>
      </c>
      <c r="B36" s="13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2"/>
      <c r="Q36" s="23">
        <f>SUM(CashPaidOut3[[#This Row],[Period 0]:[Period 12]])</f>
        <v>0</v>
      </c>
      <c r="R36" s="23"/>
      <c r="S36" s="231"/>
      <c r="T36" s="233"/>
      <c r="U36" s="223"/>
    </row>
    <row r="37" spans="1:21" x14ac:dyDescent="0.2">
      <c r="A37" s="21" t="s">
        <v>228</v>
      </c>
      <c r="B37" s="13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2"/>
      <c r="Q37" s="23">
        <f>SUM(CashPaidOut3[[#This Row],[Period 0]:[Period 12]])</f>
        <v>0</v>
      </c>
      <c r="R37" s="23"/>
      <c r="S37" s="231"/>
      <c r="T37" s="233"/>
      <c r="U37" s="223"/>
    </row>
    <row r="38" spans="1:21" x14ac:dyDescent="0.2">
      <c r="A38" s="21" t="s">
        <v>210</v>
      </c>
      <c r="B38" s="13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6"/>
      <c r="Q38" s="23">
        <f>SUM(CashPaidOut3[[#This Row],[Period 0]:[Period 12]])</f>
        <v>0</v>
      </c>
      <c r="R38" s="23"/>
      <c r="S38" s="231"/>
      <c r="T38" s="233"/>
      <c r="U38" s="223"/>
    </row>
    <row r="39" spans="1:21" ht="16" x14ac:dyDescent="0.2">
      <c r="A39" s="21" t="s">
        <v>197</v>
      </c>
      <c r="B39" s="13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2"/>
      <c r="Q39" s="23">
        <f>SUM(CashPaidOut3[[#This Row],[Period 0]:[Period 12]])</f>
        <v>0</v>
      </c>
      <c r="R39" s="23"/>
      <c r="S39" s="232"/>
      <c r="T39" s="234"/>
      <c r="U39" s="224"/>
    </row>
    <row r="40" spans="1:21" x14ac:dyDescent="0.2">
      <c r="A40" s="24" t="s">
        <v>198</v>
      </c>
      <c r="B40" s="13"/>
      <c r="C40" s="23">
        <f>SUBTOTAL(109,CashPaidOut3[Period 0])</f>
        <v>0</v>
      </c>
      <c r="D40" s="23">
        <f>SUBTOTAL(109,CashPaidOut3[Period 1])</f>
        <v>0</v>
      </c>
      <c r="E40" s="23">
        <f>SUBTOTAL(109,CashPaidOut3[Period 2])</f>
        <v>0</v>
      </c>
      <c r="F40" s="23">
        <f>SUBTOTAL(109,CashPaidOut3[Period 3])</f>
        <v>0</v>
      </c>
      <c r="G40" s="23">
        <f>SUBTOTAL(109,CashPaidOut3[Period 4])</f>
        <v>0</v>
      </c>
      <c r="H40" s="23">
        <f>SUBTOTAL(109,CashPaidOut3[Period 5])</f>
        <v>0</v>
      </c>
      <c r="I40" s="23">
        <f>SUBTOTAL(109,CashPaidOut3[Period 6])</f>
        <v>0</v>
      </c>
      <c r="J40" s="23">
        <f>SUBTOTAL(109,CashPaidOut3[Period 7])</f>
        <v>0</v>
      </c>
      <c r="K40" s="23">
        <f>SUBTOTAL(109,CashPaidOut3[Period 8])</f>
        <v>0</v>
      </c>
      <c r="L40" s="23">
        <f>SUBTOTAL(109,CashPaidOut3[Period 9])</f>
        <v>0</v>
      </c>
      <c r="M40" s="23">
        <f>SUBTOTAL(109,CashPaidOut3[Period 10])</f>
        <v>0</v>
      </c>
      <c r="N40" s="23">
        <f>SUBTOTAL(109,CashPaidOut3[Period 11])</f>
        <v>0</v>
      </c>
      <c r="O40" s="23"/>
      <c r="P40" s="22"/>
      <c r="Q40" s="23">
        <f>SUBTOTAL(109,CashPaidOut3[Total])</f>
        <v>0</v>
      </c>
      <c r="R40" s="7"/>
      <c r="S40" s="231"/>
      <c r="T40" s="233"/>
      <c r="U40" s="223"/>
    </row>
    <row r="41" spans="1:21" x14ac:dyDescent="0.2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231"/>
      <c r="T41" s="233"/>
      <c r="U41" s="223"/>
    </row>
    <row r="42" spans="1:21" x14ac:dyDescent="0.2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231"/>
      <c r="T42" s="233"/>
      <c r="U42" s="223"/>
    </row>
    <row r="43" spans="1:21" ht="16" thickBot="1" x14ac:dyDescent="0.25">
      <c r="A43" s="253" t="s">
        <v>199</v>
      </c>
      <c r="B43" s="18"/>
      <c r="C43" s="257">
        <f t="shared" ref="C43:N43" si="1">C13-C40</f>
        <v>0</v>
      </c>
      <c r="D43" s="257">
        <f t="shared" si="1"/>
        <v>0</v>
      </c>
      <c r="E43" s="257">
        <f t="shared" si="1"/>
        <v>0</v>
      </c>
      <c r="F43" s="257">
        <f t="shared" si="1"/>
        <v>0</v>
      </c>
      <c r="G43" s="257">
        <f t="shared" si="1"/>
        <v>0</v>
      </c>
      <c r="H43" s="257">
        <f t="shared" si="1"/>
        <v>0</v>
      </c>
      <c r="I43" s="257">
        <f t="shared" si="1"/>
        <v>0</v>
      </c>
      <c r="J43" s="257">
        <f t="shared" si="1"/>
        <v>0</v>
      </c>
      <c r="K43" s="257">
        <f t="shared" si="1"/>
        <v>0</v>
      </c>
      <c r="L43" s="257">
        <f t="shared" si="1"/>
        <v>0</v>
      </c>
      <c r="M43" s="257">
        <f t="shared" si="1"/>
        <v>0</v>
      </c>
      <c r="N43" s="257">
        <f t="shared" si="1"/>
        <v>0</v>
      </c>
      <c r="O43" s="257"/>
      <c r="P43" s="18"/>
      <c r="Q43" s="257">
        <f>Q13-Q40</f>
        <v>0</v>
      </c>
      <c r="R43" s="258"/>
      <c r="S43" s="231"/>
      <c r="T43" s="233"/>
      <c r="U43" s="223"/>
    </row>
    <row r="44" spans="1:21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5"/>
      <c r="T44" s="136"/>
      <c r="U44" s="225"/>
    </row>
    <row r="45" spans="1:21" ht="16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136"/>
      <c r="T45" s="136"/>
      <c r="U45" s="225"/>
    </row>
    <row r="46" spans="1:21" ht="16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136"/>
      <c r="T46" s="136"/>
      <c r="U46" s="225"/>
    </row>
    <row r="47" spans="1:2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36"/>
      <c r="T47" s="136"/>
    </row>
    <row r="48" spans="1:21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1:18" x14ac:dyDescent="0.2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</sheetData>
  <mergeCells count="3">
    <mergeCell ref="A14:R14"/>
    <mergeCell ref="A41:R41"/>
    <mergeCell ref="A42:R42"/>
  </mergeCells>
  <conditionalFormatting sqref="D13:O13">
    <cfRule type="expression" dxfId="169" priority="1">
      <formula>D13&lt;0</formula>
    </cfRule>
  </conditionalFormatting>
  <conditionalFormatting sqref="D6:O6">
    <cfRule type="expression" dxfId="168" priority="3">
      <formula>D6&lt;0</formula>
    </cfRule>
  </conditionalFormatting>
  <conditionalFormatting sqref="D43:O43">
    <cfRule type="expression" dxfId="167" priority="2">
      <formula>D43&lt;0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9C33C3F-E0B8-42BA-B96A-94A6784B71E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5" id="{3705347B-5FF5-4FC1-AEFF-FCB0DDB300B7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6" id="{22C40D7B-E71A-4044-B4AD-9AF038301627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Q43 C43:O43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55ED1775-8946-4D2C-84D8-DCFFA4001541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Kassavirtalaskelma2v!C43:O43</xm:f>
              <xm:sqref>R43</xm:sqref>
            </x14:sparkline>
            <x14:sparkline>
              <xm:f>Kassavirtalaskelma2v!C13:O13</xm:f>
              <xm:sqref>R13</xm:sqref>
            </x14:sparkline>
            <x14:sparkline>
              <xm:f>Kassavirtalaskelma2v!C40:O40</xm:f>
              <xm:sqref>R40</xm:sqref>
            </x14:sparkline>
            <x14:sparkline>
              <xm:f>Kassavirtalaskelma2v!C6:O6</xm:f>
              <xm:sqref>R6</xm:sqref>
            </x14:sparkline>
            <x14:sparkline>
              <xm:f>Kassavirtalaskelma2v!C12:O12</xm:f>
              <xm:sqref>R12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D4281-F226-458B-96FD-FE8A07B99C9B}">
  <dimension ref="A1:U50"/>
  <sheetViews>
    <sheetView topLeftCell="A10" workbookViewId="0">
      <selection activeCell="C6" sqref="C6"/>
    </sheetView>
  </sheetViews>
  <sheetFormatPr baseColWidth="10" defaultColWidth="8.83203125" defaultRowHeight="15" x14ac:dyDescent="0.2"/>
  <cols>
    <col min="1" max="1" width="28.33203125" customWidth="1"/>
    <col min="2" max="2" width="2" customWidth="1"/>
    <col min="3" max="3" width="8.83203125" bestFit="1" customWidth="1"/>
    <col min="4" max="4" width="8.5" customWidth="1"/>
    <col min="5" max="8" width="8.6640625" bestFit="1" customWidth="1"/>
    <col min="9" max="9" width="9.83203125" customWidth="1"/>
    <col min="10" max="10" width="8.6640625" bestFit="1" customWidth="1"/>
    <col min="11" max="11" width="10.83203125" customWidth="1"/>
    <col min="12" max="12" width="10" customWidth="1"/>
    <col min="13" max="13" width="10.1640625" customWidth="1"/>
    <col min="14" max="14" width="8.6640625" bestFit="1" customWidth="1"/>
    <col min="15" max="15" width="1.83203125" customWidth="1"/>
    <col min="16" max="16" width="2.1640625" customWidth="1"/>
    <col min="17" max="17" width="11.5" customWidth="1"/>
  </cols>
  <sheetData>
    <row r="1" spans="1:21" ht="18.5" customHeight="1" thickBot="1" x14ac:dyDescent="0.3">
      <c r="A1" s="227" t="s">
        <v>207</v>
      </c>
      <c r="B1" s="226"/>
      <c r="C1" s="22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4"/>
      <c r="U1" s="4"/>
    </row>
    <row r="2" spans="1:21" ht="16" thickTop="1" x14ac:dyDescent="0.2">
      <c r="A2" s="8" t="s">
        <v>200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7"/>
      <c r="R2" s="7"/>
      <c r="S2" s="231"/>
      <c r="T2" s="233"/>
      <c r="U2" s="223"/>
    </row>
    <row r="3" spans="1:21" x14ac:dyDescent="0.2">
      <c r="A3" s="235" t="s">
        <v>191</v>
      </c>
      <c r="B3" s="236"/>
      <c r="C3" s="238" t="str">
        <f>UPPER(TEXT(FiscalYearStartDate,"kkk"))</f>
        <v>KKK</v>
      </c>
      <c r="D3" s="238" t="str">
        <f>UPPER(TEXT(EOMONTH(FiscalYearStartDate,1),"kkk"))</f>
        <v>KKK</v>
      </c>
      <c r="E3" s="238" t="str">
        <f>UPPER(TEXT(EOMONTH(FiscalYearStartDate,2),"kkk"))</f>
        <v>KKK</v>
      </c>
      <c r="F3" s="238" t="str">
        <f>UPPER(TEXT(EOMONTH(FiscalYearStartDate,3),"kkk"))</f>
        <v>KKK</v>
      </c>
      <c r="G3" s="238" t="str">
        <f>UPPER(TEXT(EOMONTH(FiscalYearStartDate,4),"kkk"))</f>
        <v>KKK</v>
      </c>
      <c r="H3" s="238" t="str">
        <f>UPPER(TEXT(EOMONTH(FiscalYearStartDate,5),"kkk"))</f>
        <v>KKK</v>
      </c>
      <c r="I3" s="238" t="str">
        <f>UPPER(TEXT(EOMONTH(FiscalYearStartDate,6),"kkk"))</f>
        <v>KKK</v>
      </c>
      <c r="J3" s="238" t="str">
        <f>UPPER(TEXT(EOMONTH(FiscalYearStartDate,7),"kkk"))</f>
        <v>KKK</v>
      </c>
      <c r="K3" s="238" t="str">
        <f>UPPER(TEXT(EOMONTH(FiscalYearStartDate,8),"kkk"))</f>
        <v>KKK</v>
      </c>
      <c r="L3" s="238" t="str">
        <f>UPPER(TEXT(EOMONTH(FiscalYearStartDate,9),"kkk"))</f>
        <v>KKK</v>
      </c>
      <c r="M3" s="238" t="str">
        <f>UPPER(TEXT(EOMONTH(FiscalYearStartDate,10),"kkk"))</f>
        <v>KKK</v>
      </c>
      <c r="N3" s="238" t="str">
        <f>UPPER(TEXT(EOMONTH(FiscalYearStartDate,11),"kkk"))</f>
        <v>KKK</v>
      </c>
      <c r="P3" s="239"/>
      <c r="Q3" s="237" t="s">
        <v>17</v>
      </c>
      <c r="R3" s="7"/>
      <c r="S3" s="231"/>
      <c r="T3" s="233"/>
      <c r="U3" s="223"/>
    </row>
    <row r="4" spans="1:21" ht="16" thickBot="1" x14ac:dyDescent="0.25">
      <c r="A4" s="240">
        <v>44440</v>
      </c>
      <c r="B4" s="8"/>
      <c r="C4" s="242">
        <f>FiscalYearStartDate</f>
        <v>44440</v>
      </c>
      <c r="D4" s="242">
        <f t="shared" ref="D4:N4" si="0">EOMONTH(C4,0)+DAY(FiscalYearStartDate)</f>
        <v>44470</v>
      </c>
      <c r="E4" s="242">
        <f t="shared" si="0"/>
        <v>44501</v>
      </c>
      <c r="F4" s="242">
        <f t="shared" si="0"/>
        <v>44531</v>
      </c>
      <c r="G4" s="242">
        <f t="shared" si="0"/>
        <v>44562</v>
      </c>
      <c r="H4" s="242">
        <f t="shared" si="0"/>
        <v>44593</v>
      </c>
      <c r="I4" s="242">
        <f t="shared" si="0"/>
        <v>44621</v>
      </c>
      <c r="J4" s="242">
        <f t="shared" si="0"/>
        <v>44652</v>
      </c>
      <c r="K4" s="242">
        <f t="shared" si="0"/>
        <v>44682</v>
      </c>
      <c r="L4" s="242">
        <f t="shared" si="0"/>
        <v>44713</v>
      </c>
      <c r="M4" s="242">
        <f t="shared" si="0"/>
        <v>44743</v>
      </c>
      <c r="N4" s="242">
        <f t="shared" si="0"/>
        <v>44774</v>
      </c>
      <c r="P4" s="243"/>
      <c r="Q4" s="244" t="s">
        <v>193</v>
      </c>
      <c r="R4" s="7"/>
      <c r="S4" s="231"/>
      <c r="T4" s="233"/>
      <c r="U4" s="223"/>
    </row>
    <row r="5" spans="1:21" ht="10.75" customHeight="1" thickTop="1" x14ac:dyDescent="0.2">
      <c r="A5" s="10"/>
      <c r="B5" s="7"/>
      <c r="C5" s="11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  <c r="Q5" s="11"/>
      <c r="R5" s="7"/>
      <c r="S5" s="231"/>
      <c r="T5" s="233"/>
      <c r="U5" s="261"/>
    </row>
    <row r="6" spans="1:21" ht="16" thickBot="1" x14ac:dyDescent="0.25">
      <c r="A6" s="259" t="s">
        <v>208</v>
      </c>
      <c r="B6" s="7"/>
      <c r="C6" s="247">
        <f>Kassavirtalaskelma2v!N43</f>
        <v>0</v>
      </c>
      <c r="D6" s="247">
        <f>C43</f>
        <v>0</v>
      </c>
      <c r="E6" s="247">
        <f t="shared" ref="E6:N6" si="1">D43</f>
        <v>0</v>
      </c>
      <c r="F6" s="247">
        <f t="shared" si="1"/>
        <v>0</v>
      </c>
      <c r="G6" s="247">
        <f t="shared" si="1"/>
        <v>0</v>
      </c>
      <c r="H6" s="247">
        <f t="shared" si="1"/>
        <v>0</v>
      </c>
      <c r="I6" s="247">
        <f t="shared" si="1"/>
        <v>0</v>
      </c>
      <c r="J6" s="247">
        <f t="shared" si="1"/>
        <v>0</v>
      </c>
      <c r="K6" s="247">
        <f t="shared" si="1"/>
        <v>0</v>
      </c>
      <c r="L6" s="247">
        <f t="shared" si="1"/>
        <v>0</v>
      </c>
      <c r="M6" s="247">
        <f t="shared" si="1"/>
        <v>0</v>
      </c>
      <c r="N6" s="247">
        <f t="shared" si="1"/>
        <v>0</v>
      </c>
      <c r="O6" s="247"/>
      <c r="P6" s="12"/>
      <c r="Q6" s="247">
        <f>N6</f>
        <v>0</v>
      </c>
      <c r="R6" s="248"/>
      <c r="S6" s="231"/>
      <c r="T6" s="233"/>
      <c r="U6" s="223"/>
    </row>
    <row r="7" spans="1:21" ht="10.75" customHeight="1" x14ac:dyDescent="0.2">
      <c r="A7" s="7"/>
      <c r="B7" s="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3"/>
      <c r="Q7" s="23"/>
      <c r="R7" s="7"/>
      <c r="S7" s="231"/>
      <c r="T7" s="233"/>
      <c r="U7" s="223"/>
    </row>
    <row r="8" spans="1:21" ht="16" thickBot="1" x14ac:dyDescent="0.25">
      <c r="A8" s="249" t="s">
        <v>194</v>
      </c>
      <c r="B8" s="7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13"/>
      <c r="Q8" s="250"/>
      <c r="R8" s="251"/>
      <c r="S8" s="231"/>
      <c r="T8" s="233"/>
      <c r="U8" s="223"/>
    </row>
    <row r="9" spans="1:21" ht="16" thickTop="1" x14ac:dyDescent="0.2">
      <c r="A9" s="14" t="s">
        <v>229</v>
      </c>
      <c r="B9" s="13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15"/>
      <c r="Q9" s="23">
        <f>SUM(CashReceipts24[[#This Row],[Period 0]:[Period 12]])</f>
        <v>0</v>
      </c>
      <c r="R9" s="7"/>
      <c r="S9" s="231"/>
      <c r="T9" s="233"/>
      <c r="U9" s="223"/>
    </row>
    <row r="10" spans="1:21" x14ac:dyDescent="0.2">
      <c r="A10" s="14" t="s">
        <v>230</v>
      </c>
      <c r="B10" s="13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15"/>
      <c r="Q10" s="23">
        <f>SUM(CashReceipts24[[#This Row],[Period 0]:[Period 12]])</f>
        <v>0</v>
      </c>
      <c r="R10" s="7"/>
      <c r="S10" s="231"/>
      <c r="T10" s="233"/>
      <c r="U10" s="223"/>
    </row>
    <row r="11" spans="1:21" x14ac:dyDescent="0.2">
      <c r="A11" s="14" t="s">
        <v>231</v>
      </c>
      <c r="B11" s="16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15"/>
      <c r="Q11" s="23">
        <f>SUM(CashReceipts24[[#This Row],[Period 0]:[Period 12]])</f>
        <v>0</v>
      </c>
      <c r="R11" s="7"/>
      <c r="S11" s="231"/>
      <c r="T11" s="233"/>
      <c r="U11" s="223"/>
    </row>
    <row r="12" spans="1:21" ht="16" thickBot="1" x14ac:dyDescent="0.25">
      <c r="A12" s="14" t="s">
        <v>17</v>
      </c>
      <c r="B12" s="17"/>
      <c r="C12" s="23">
        <f>SUBTOTAL(109,CashReceipts24[Period 0])</f>
        <v>0</v>
      </c>
      <c r="D12" s="23">
        <f>SUBTOTAL(109,CashReceipts24[Period 1])</f>
        <v>0</v>
      </c>
      <c r="E12" s="23">
        <f>SUBTOTAL(109,CashReceipts24[Period 2])</f>
        <v>0</v>
      </c>
      <c r="F12" s="23">
        <f>SUBTOTAL(109,CashReceipts24[Period 3])</f>
        <v>0</v>
      </c>
      <c r="G12" s="23">
        <f>SUBTOTAL(109,CashReceipts24[Period 4])</f>
        <v>0</v>
      </c>
      <c r="H12" s="23">
        <f>SUBTOTAL(109,CashReceipts24[Period 5])</f>
        <v>0</v>
      </c>
      <c r="I12" s="23">
        <f>SUBTOTAL(109,CashReceipts24[Period 6])</f>
        <v>0</v>
      </c>
      <c r="J12" s="23">
        <f>SUBTOTAL(109,CashReceipts24[Period 7])</f>
        <v>0</v>
      </c>
      <c r="K12" s="23">
        <f>SUBTOTAL(109,CashReceipts24[Period 8])</f>
        <v>0</v>
      </c>
      <c r="L12" s="23">
        <f>SUBTOTAL(109,CashReceipts24[Period 9])</f>
        <v>0</v>
      </c>
      <c r="M12" s="23">
        <f>SUBTOTAL(109,CashReceipts24[Period 10])</f>
        <v>0</v>
      </c>
      <c r="N12" s="23">
        <f>SUBTOTAL(109,CashReceipts24[Period 11])</f>
        <v>0</v>
      </c>
      <c r="O12" s="23"/>
      <c r="P12" s="15"/>
      <c r="Q12" s="23">
        <f>SUBTOTAL(109,CashReceipts24[Total])</f>
        <v>0</v>
      </c>
      <c r="R12" s="7"/>
      <c r="S12" s="231"/>
      <c r="T12" s="233"/>
      <c r="U12" s="223"/>
    </row>
    <row r="13" spans="1:21" ht="17" thickTop="1" thickBot="1" x14ac:dyDescent="0.25">
      <c r="A13" s="253" t="s">
        <v>209</v>
      </c>
      <c r="B13" s="18"/>
      <c r="C13" s="254">
        <f>C6+SUM(CashReceipts24[Period 0])</f>
        <v>0</v>
      </c>
      <c r="D13" s="254">
        <f>D6+SUM(CashReceipts24[Period 1])</f>
        <v>0</v>
      </c>
      <c r="E13" s="254">
        <f>E6+SUM(CashReceipts24[Period 2])</f>
        <v>0</v>
      </c>
      <c r="F13" s="254">
        <f>F6+SUM(CashReceipts24[Period 3])</f>
        <v>0</v>
      </c>
      <c r="G13" s="254">
        <f>G6+SUM(CashReceipts24[Period 4])</f>
        <v>0</v>
      </c>
      <c r="H13" s="254">
        <f>H6+SUM(CashReceipts24[Period 5])</f>
        <v>0</v>
      </c>
      <c r="I13" s="254">
        <f>I6+SUM(CashReceipts24[Period 6])</f>
        <v>0</v>
      </c>
      <c r="J13" s="254">
        <f>J6+SUM(CashReceipts24[Period 7])</f>
        <v>0</v>
      </c>
      <c r="K13" s="254">
        <f>K6+SUM(CashReceipts24[Period 8])</f>
        <v>0</v>
      </c>
      <c r="L13" s="254">
        <f>L6+SUM(CashReceipts24[Period 9])</f>
        <v>0</v>
      </c>
      <c r="M13" s="254">
        <f>M6+SUM(CashReceipts24[Period 10])</f>
        <v>0</v>
      </c>
      <c r="N13" s="254">
        <f>N6+SUM(CashReceipts24[Period 11])</f>
        <v>0</v>
      </c>
      <c r="O13" s="254"/>
      <c r="P13" s="19"/>
      <c r="Q13" s="254">
        <f>Q6+SUM(CashReceipts24[Total])</f>
        <v>0</v>
      </c>
      <c r="R13" s="20"/>
      <c r="S13" s="231"/>
      <c r="T13" s="233"/>
      <c r="U13" s="223"/>
    </row>
    <row r="14" spans="1:21" ht="11.5" customHeight="1" x14ac:dyDescent="0.2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231"/>
      <c r="T14" s="233"/>
      <c r="U14" s="223"/>
    </row>
    <row r="15" spans="1:21" ht="16" thickBot="1" x14ac:dyDescent="0.25">
      <c r="A15" s="255" t="s">
        <v>232</v>
      </c>
      <c r="B15" s="13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13"/>
      <c r="Q15" s="251"/>
      <c r="R15" s="251"/>
      <c r="S15" s="231"/>
      <c r="T15" s="233"/>
      <c r="U15" s="223"/>
    </row>
    <row r="16" spans="1:21" ht="16" thickTop="1" x14ac:dyDescent="0.2">
      <c r="A16" s="21" t="s">
        <v>213</v>
      </c>
      <c r="B16" s="13"/>
      <c r="C16" s="252"/>
      <c r="D16" s="252"/>
      <c r="E16" s="252"/>
      <c r="F16" s="260"/>
      <c r="G16" s="252"/>
      <c r="H16" s="252"/>
      <c r="I16" s="252"/>
      <c r="J16" s="252"/>
      <c r="K16" s="252"/>
      <c r="L16" s="252"/>
      <c r="M16" s="252"/>
      <c r="N16" s="252"/>
      <c r="O16" s="252"/>
      <c r="P16" s="256"/>
      <c r="Q16" s="23">
        <f>SUM(CashPaidOut35[[#This Row],[Period 0]:[Period 12]])</f>
        <v>0</v>
      </c>
      <c r="R16" s="23"/>
      <c r="S16" s="231"/>
      <c r="T16" s="233"/>
      <c r="U16" s="223"/>
    </row>
    <row r="17" spans="1:21" x14ac:dyDescent="0.2">
      <c r="A17" s="21" t="s">
        <v>214</v>
      </c>
      <c r="B17" s="13"/>
      <c r="C17" s="252"/>
      <c r="D17" s="252"/>
      <c r="E17" s="252"/>
      <c r="F17" s="260"/>
      <c r="G17" s="252"/>
      <c r="H17" s="252"/>
      <c r="I17" s="252"/>
      <c r="J17" s="252"/>
      <c r="K17" s="252"/>
      <c r="L17" s="252"/>
      <c r="M17" s="252"/>
      <c r="N17" s="252"/>
      <c r="O17" s="252"/>
      <c r="P17" s="256"/>
      <c r="Q17" s="23">
        <f>SUM(CashPaidOut35[[#This Row],[Period 0]:[Period 12]])</f>
        <v>0</v>
      </c>
      <c r="R17" s="23"/>
      <c r="S17" s="231"/>
      <c r="T17" s="233"/>
      <c r="U17" s="223"/>
    </row>
    <row r="18" spans="1:21" x14ac:dyDescent="0.2">
      <c r="A18" s="21" t="s">
        <v>215</v>
      </c>
      <c r="B18" s="13"/>
      <c r="C18" s="252"/>
      <c r="D18" s="252"/>
      <c r="E18" s="252"/>
      <c r="F18" s="260"/>
      <c r="G18" s="252"/>
      <c r="H18" s="252"/>
      <c r="I18" s="252"/>
      <c r="J18" s="252"/>
      <c r="K18" s="252"/>
      <c r="L18" s="252"/>
      <c r="M18" s="252"/>
      <c r="N18" s="252"/>
      <c r="O18" s="252"/>
      <c r="P18" s="256"/>
      <c r="Q18" s="23">
        <f>SUM(CashPaidOut35[[#This Row],[Period 0]:[Period 12]])</f>
        <v>0</v>
      </c>
      <c r="R18" s="23"/>
      <c r="S18" s="231"/>
      <c r="T18" s="233"/>
      <c r="U18" s="223"/>
    </row>
    <row r="19" spans="1:21" x14ac:dyDescent="0.2">
      <c r="A19" s="21" t="s">
        <v>216</v>
      </c>
      <c r="B19" s="13"/>
      <c r="C19" s="252"/>
      <c r="D19" s="252"/>
      <c r="E19" s="252"/>
      <c r="F19" s="260"/>
      <c r="G19" s="252"/>
      <c r="H19" s="252"/>
      <c r="I19" s="252"/>
      <c r="J19" s="252"/>
      <c r="K19" s="252"/>
      <c r="L19" s="252"/>
      <c r="M19" s="252"/>
      <c r="N19" s="252"/>
      <c r="O19" s="252"/>
      <c r="P19" s="256"/>
      <c r="Q19" s="23">
        <f>SUM(CashPaidOut35[[#This Row],[Period 0]:[Period 12]])</f>
        <v>0</v>
      </c>
      <c r="R19" s="23"/>
      <c r="S19" s="231"/>
      <c r="T19" s="233"/>
      <c r="U19" s="223"/>
    </row>
    <row r="20" spans="1:21" x14ac:dyDescent="0.2">
      <c r="A20" s="21" t="s">
        <v>217</v>
      </c>
      <c r="B20" s="13"/>
      <c r="C20" s="252"/>
      <c r="D20" s="252"/>
      <c r="E20" s="252"/>
      <c r="F20" s="260"/>
      <c r="G20" s="252"/>
      <c r="H20" s="252"/>
      <c r="I20" s="252"/>
      <c r="J20" s="252"/>
      <c r="K20" s="252"/>
      <c r="L20" s="252"/>
      <c r="M20" s="252"/>
      <c r="N20" s="252"/>
      <c r="O20" s="252"/>
      <c r="P20" s="256"/>
      <c r="Q20" s="23">
        <f>SUM(CashPaidOut35[[#This Row],[Period 0]:[Period 12]])</f>
        <v>0</v>
      </c>
      <c r="R20" s="23"/>
      <c r="S20" s="231"/>
      <c r="T20" s="233"/>
      <c r="U20" s="223"/>
    </row>
    <row r="21" spans="1:21" x14ac:dyDescent="0.2">
      <c r="A21" s="21" t="s">
        <v>120</v>
      </c>
      <c r="B21" s="13"/>
      <c r="C21" s="252"/>
      <c r="D21" s="252"/>
      <c r="E21" s="252"/>
      <c r="F21" s="260"/>
      <c r="G21" s="252"/>
      <c r="H21" s="252"/>
      <c r="I21" s="252"/>
      <c r="J21" s="252"/>
      <c r="K21" s="252"/>
      <c r="L21" s="252"/>
      <c r="M21" s="252"/>
      <c r="N21" s="252"/>
      <c r="O21" s="252"/>
      <c r="P21" s="256"/>
      <c r="Q21" s="23">
        <f>SUM(CashPaidOut35[[#This Row],[Period 0]:[Period 12]])</f>
        <v>0</v>
      </c>
      <c r="R21" s="23"/>
      <c r="S21" s="231"/>
      <c r="T21" s="233"/>
      <c r="U21" s="223"/>
    </row>
    <row r="22" spans="1:21" x14ac:dyDescent="0.2">
      <c r="A22" s="21" t="s">
        <v>218</v>
      </c>
      <c r="B22" s="13"/>
      <c r="C22" s="252"/>
      <c r="D22" s="252"/>
      <c r="E22" s="252"/>
      <c r="F22" s="260"/>
      <c r="G22" s="252"/>
      <c r="H22" s="252"/>
      <c r="I22" s="252"/>
      <c r="J22" s="252"/>
      <c r="K22" s="252"/>
      <c r="L22" s="252"/>
      <c r="M22" s="252"/>
      <c r="N22" s="252"/>
      <c r="O22" s="252"/>
      <c r="P22" s="256"/>
      <c r="Q22" s="23">
        <f>SUM(CashPaidOut35[[#This Row],[Period 0]:[Period 12]])</f>
        <v>0</v>
      </c>
      <c r="R22" s="23"/>
      <c r="S22" s="231"/>
      <c r="T22" s="233"/>
      <c r="U22" s="223"/>
    </row>
    <row r="23" spans="1:21" x14ac:dyDescent="0.2">
      <c r="A23" s="21" t="s">
        <v>196</v>
      </c>
      <c r="B23" s="13"/>
      <c r="C23" s="252"/>
      <c r="D23" s="252"/>
      <c r="E23" s="252"/>
      <c r="F23" s="260"/>
      <c r="G23" s="252"/>
      <c r="H23" s="252"/>
      <c r="I23" s="252"/>
      <c r="J23" s="252"/>
      <c r="K23" s="252"/>
      <c r="L23" s="252"/>
      <c r="M23" s="252"/>
      <c r="N23" s="252"/>
      <c r="O23" s="252"/>
      <c r="P23" s="256"/>
      <c r="Q23" s="23">
        <f>SUM(CashPaidOut35[[#This Row],[Period 0]:[Period 12]])</f>
        <v>0</v>
      </c>
      <c r="R23" s="23"/>
      <c r="S23" s="231"/>
      <c r="T23" s="233"/>
      <c r="U23" s="223"/>
    </row>
    <row r="24" spans="1:21" x14ac:dyDescent="0.2">
      <c r="A24" s="21" t="s">
        <v>226</v>
      </c>
      <c r="B24" s="13"/>
      <c r="C24" s="252"/>
      <c r="D24" s="252"/>
      <c r="E24" s="252"/>
      <c r="F24" s="260"/>
      <c r="G24" s="252"/>
      <c r="H24" s="252"/>
      <c r="I24" s="252"/>
      <c r="J24" s="252"/>
      <c r="K24" s="252"/>
      <c r="L24" s="252"/>
      <c r="M24" s="252"/>
      <c r="N24" s="252"/>
      <c r="O24" s="252"/>
      <c r="P24" s="256"/>
      <c r="Q24" s="23">
        <f>SUM(CashPaidOut35[[#This Row],[Period 0]:[Period 12]])</f>
        <v>0</v>
      </c>
      <c r="R24" s="23"/>
      <c r="S24" s="231"/>
      <c r="T24" s="233"/>
      <c r="U24" s="223"/>
    </row>
    <row r="25" spans="1:21" x14ac:dyDescent="0.2">
      <c r="A25" s="21" t="s">
        <v>219</v>
      </c>
      <c r="B25" s="13"/>
      <c r="C25" s="252"/>
      <c r="D25" s="252"/>
      <c r="E25" s="252"/>
      <c r="F25" s="260"/>
      <c r="G25" s="252"/>
      <c r="H25" s="252"/>
      <c r="I25" s="252"/>
      <c r="J25" s="252"/>
      <c r="K25" s="252"/>
      <c r="L25" s="252"/>
      <c r="M25" s="252"/>
      <c r="N25" s="252"/>
      <c r="O25" s="252"/>
      <c r="P25" s="256"/>
      <c r="Q25" s="23">
        <f>SUM(CashPaidOut35[[#This Row],[Period 0]:[Period 12]])</f>
        <v>0</v>
      </c>
      <c r="R25" s="23"/>
      <c r="S25" s="231"/>
      <c r="T25" s="233"/>
      <c r="U25" s="223"/>
    </row>
    <row r="26" spans="1:21" x14ac:dyDescent="0.2">
      <c r="A26" s="21" t="s">
        <v>212</v>
      </c>
      <c r="B26" s="13"/>
      <c r="C26" s="252"/>
      <c r="D26" s="252"/>
      <c r="E26" s="252"/>
      <c r="F26" s="260"/>
      <c r="G26" s="252"/>
      <c r="H26" s="252"/>
      <c r="I26" s="252"/>
      <c r="J26" s="252"/>
      <c r="K26" s="252"/>
      <c r="L26" s="252"/>
      <c r="M26" s="252"/>
      <c r="N26" s="252"/>
      <c r="O26" s="252"/>
      <c r="P26" s="256"/>
      <c r="Q26" s="23">
        <f>SUM(CashPaidOut35[[#This Row],[Period 0]:[Period 12]])</f>
        <v>0</v>
      </c>
      <c r="R26" s="23"/>
      <c r="S26" s="231"/>
      <c r="T26" s="233"/>
      <c r="U26" s="223"/>
    </row>
    <row r="27" spans="1:21" x14ac:dyDescent="0.2">
      <c r="A27" s="21" t="s">
        <v>211</v>
      </c>
      <c r="B27" s="13"/>
      <c r="C27" s="252"/>
      <c r="D27" s="252"/>
      <c r="E27" s="252"/>
      <c r="F27" s="260"/>
      <c r="G27" s="252"/>
      <c r="H27" s="252"/>
      <c r="I27" s="252"/>
      <c r="J27" s="252"/>
      <c r="K27" s="252"/>
      <c r="L27" s="252"/>
      <c r="M27" s="252"/>
      <c r="N27" s="252"/>
      <c r="O27" s="252"/>
      <c r="P27" s="256"/>
      <c r="Q27" s="23">
        <f>SUM(CashPaidOut35[[#This Row],[Period 0]:[Period 12]])</f>
        <v>0</v>
      </c>
      <c r="R27" s="23"/>
      <c r="S27" s="231"/>
      <c r="T27" s="233"/>
      <c r="U27" s="223"/>
    </row>
    <row r="28" spans="1:21" x14ac:dyDescent="0.2">
      <c r="A28" s="21" t="s">
        <v>220</v>
      </c>
      <c r="B28" s="13"/>
      <c r="C28" s="252"/>
      <c r="D28" s="252"/>
      <c r="E28" s="252"/>
      <c r="F28" s="260"/>
      <c r="G28" s="252"/>
      <c r="H28" s="252"/>
      <c r="I28" s="252"/>
      <c r="J28" s="252"/>
      <c r="K28" s="252"/>
      <c r="L28" s="252"/>
      <c r="M28" s="252"/>
      <c r="N28" s="252"/>
      <c r="O28" s="252"/>
      <c r="P28" s="256"/>
      <c r="Q28" s="23">
        <f>SUM(CashPaidOut35[[#This Row],[Period 0]:[Period 12]])</f>
        <v>0</v>
      </c>
      <c r="R28" s="23"/>
      <c r="S28" s="231"/>
      <c r="T28" s="233"/>
      <c r="U28" s="223"/>
    </row>
    <row r="29" spans="1:21" x14ac:dyDescent="0.2">
      <c r="A29" s="21" t="s">
        <v>221</v>
      </c>
      <c r="B29" s="13"/>
      <c r="C29" s="252"/>
      <c r="D29" s="252"/>
      <c r="E29" s="252"/>
      <c r="F29" s="260"/>
      <c r="G29" s="252"/>
      <c r="H29" s="252"/>
      <c r="I29" s="252"/>
      <c r="J29" s="252"/>
      <c r="K29" s="252"/>
      <c r="L29" s="252"/>
      <c r="M29" s="252"/>
      <c r="N29" s="252"/>
      <c r="O29" s="252"/>
      <c r="P29" s="256"/>
      <c r="Q29" s="23">
        <f>SUM(CashPaidOut35[[#This Row],[Period 0]:[Period 12]])</f>
        <v>0</v>
      </c>
      <c r="R29" s="23"/>
      <c r="S29" s="231"/>
      <c r="T29" s="233"/>
      <c r="U29" s="223"/>
    </row>
    <row r="30" spans="1:21" x14ac:dyDescent="0.2">
      <c r="A30" s="21" t="s">
        <v>222</v>
      </c>
      <c r="B30" s="13"/>
      <c r="C30" s="252"/>
      <c r="D30" s="252"/>
      <c r="E30" s="252"/>
      <c r="F30" s="260"/>
      <c r="G30" s="252"/>
      <c r="H30" s="252"/>
      <c r="I30" s="252"/>
      <c r="J30" s="252"/>
      <c r="K30" s="252"/>
      <c r="L30" s="252"/>
      <c r="M30" s="252"/>
      <c r="N30" s="252"/>
      <c r="O30" s="252"/>
      <c r="P30" s="256"/>
      <c r="Q30" s="23">
        <f>SUM(CashPaidOut35[[#This Row],[Period 0]:[Period 12]])</f>
        <v>0</v>
      </c>
      <c r="R30" s="23"/>
      <c r="S30" s="231"/>
      <c r="T30" s="233"/>
      <c r="U30" s="223"/>
    </row>
    <row r="31" spans="1:21" x14ac:dyDescent="0.2">
      <c r="A31" s="21" t="s">
        <v>223</v>
      </c>
      <c r="B31" s="13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2"/>
      <c r="Q31" s="23">
        <f>SUM(CashPaidOut35[[#This Row],[Period 0]:[Period 12]])</f>
        <v>0</v>
      </c>
      <c r="R31" s="23"/>
      <c r="S31" s="231"/>
      <c r="T31" s="233"/>
      <c r="U31" s="223"/>
    </row>
    <row r="32" spans="1:21" x14ac:dyDescent="0.2">
      <c r="A32" s="21" t="s">
        <v>224</v>
      </c>
      <c r="B32" s="13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2"/>
      <c r="Q32" s="23">
        <f>SUM(CashPaidOut35[[#This Row],[Period 0]:[Period 12]])</f>
        <v>0</v>
      </c>
      <c r="R32" s="23"/>
      <c r="S32" s="231"/>
      <c r="T32" s="233"/>
      <c r="U32" s="223"/>
    </row>
    <row r="33" spans="1:21" x14ac:dyDescent="0.2">
      <c r="A33" s="21" t="s">
        <v>225</v>
      </c>
      <c r="B33" s="13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6"/>
      <c r="Q33" s="23">
        <f>SUM(CashPaidOut35[[#This Row],[Period 0]:[Period 12]])</f>
        <v>0</v>
      </c>
      <c r="R33" s="23"/>
      <c r="S33" s="231"/>
      <c r="T33" s="233"/>
      <c r="U33" s="223"/>
    </row>
    <row r="34" spans="1:21" x14ac:dyDescent="0.2">
      <c r="A34" s="21" t="s">
        <v>233</v>
      </c>
      <c r="B34" s="13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2"/>
      <c r="Q34" s="23">
        <f>SUM(CashPaidOut35[[#This Row],[Period 0]:[Period 12]])</f>
        <v>0</v>
      </c>
      <c r="R34" s="23"/>
      <c r="S34" s="231"/>
      <c r="T34" s="233"/>
      <c r="U34" s="223"/>
    </row>
    <row r="35" spans="1:21" x14ac:dyDescent="0.2">
      <c r="A35" s="21" t="s">
        <v>195</v>
      </c>
      <c r="B35" s="13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2"/>
      <c r="Q35" s="23">
        <f>SUM(CashPaidOut35[[#This Row],[Period 0]:[Period 12]])</f>
        <v>0</v>
      </c>
      <c r="R35" s="23"/>
      <c r="S35" s="231"/>
      <c r="T35" s="233"/>
      <c r="U35" s="223"/>
    </row>
    <row r="36" spans="1:21" x14ac:dyDescent="0.2">
      <c r="A36" s="21" t="s">
        <v>227</v>
      </c>
      <c r="B36" s="13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2"/>
      <c r="Q36" s="23">
        <f>SUM(CashPaidOut35[[#This Row],[Period 0]:[Period 12]])</f>
        <v>0</v>
      </c>
      <c r="R36" s="23"/>
      <c r="S36" s="231"/>
      <c r="T36" s="233"/>
      <c r="U36" s="223"/>
    </row>
    <row r="37" spans="1:21" x14ac:dyDescent="0.2">
      <c r="A37" s="21" t="s">
        <v>228</v>
      </c>
      <c r="B37" s="13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2"/>
      <c r="Q37" s="23">
        <f>SUM(CashPaidOut35[[#This Row],[Period 0]:[Period 12]])</f>
        <v>0</v>
      </c>
      <c r="R37" s="23"/>
      <c r="S37" s="231"/>
      <c r="T37" s="233"/>
      <c r="U37" s="223"/>
    </row>
    <row r="38" spans="1:21" x14ac:dyDescent="0.2">
      <c r="A38" s="21" t="s">
        <v>210</v>
      </c>
      <c r="B38" s="13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6"/>
      <c r="Q38" s="23">
        <f>SUM(CashPaidOut35[[#This Row],[Period 0]:[Period 12]])</f>
        <v>0</v>
      </c>
      <c r="R38" s="23"/>
      <c r="S38" s="231"/>
      <c r="T38" s="233"/>
      <c r="U38" s="223"/>
    </row>
    <row r="39" spans="1:21" ht="16" x14ac:dyDescent="0.2">
      <c r="A39" s="21" t="s">
        <v>197</v>
      </c>
      <c r="B39" s="13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2"/>
      <c r="Q39" s="23">
        <f>SUM(CashPaidOut35[[#This Row],[Period 0]:[Period 12]])</f>
        <v>0</v>
      </c>
      <c r="R39" s="23"/>
      <c r="S39" s="232"/>
      <c r="T39" s="234"/>
      <c r="U39" s="224"/>
    </row>
    <row r="40" spans="1:21" x14ac:dyDescent="0.2">
      <c r="A40" s="24" t="s">
        <v>198</v>
      </c>
      <c r="B40" s="13"/>
      <c r="C40" s="23">
        <f>SUBTOTAL(109,CashPaidOut35[Period 0])</f>
        <v>0</v>
      </c>
      <c r="D40" s="23">
        <f>SUBTOTAL(109,CashPaidOut35[Period 1])</f>
        <v>0</v>
      </c>
      <c r="E40" s="23">
        <f>SUBTOTAL(109,CashPaidOut35[Period 2])</f>
        <v>0</v>
      </c>
      <c r="F40" s="23">
        <f>SUBTOTAL(109,CashPaidOut35[Period 3])</f>
        <v>0</v>
      </c>
      <c r="G40" s="23">
        <f>SUBTOTAL(109,CashPaidOut35[Period 4])</f>
        <v>0</v>
      </c>
      <c r="H40" s="23">
        <f>SUBTOTAL(109,CashPaidOut35[Period 5])</f>
        <v>0</v>
      </c>
      <c r="I40" s="23">
        <f>SUBTOTAL(109,CashPaidOut35[Period 6])</f>
        <v>0</v>
      </c>
      <c r="J40" s="23">
        <f>SUBTOTAL(109,CashPaidOut35[Period 7])</f>
        <v>0</v>
      </c>
      <c r="K40" s="23">
        <f>SUBTOTAL(109,CashPaidOut35[Period 8])</f>
        <v>0</v>
      </c>
      <c r="L40" s="23">
        <f>SUBTOTAL(109,CashPaidOut35[Period 9])</f>
        <v>0</v>
      </c>
      <c r="M40" s="23">
        <f>SUBTOTAL(109,CashPaidOut35[Period 10])</f>
        <v>0</v>
      </c>
      <c r="N40" s="23">
        <f>SUBTOTAL(109,CashPaidOut35[Period 11])</f>
        <v>0</v>
      </c>
      <c r="O40" s="23"/>
      <c r="P40" s="22"/>
      <c r="Q40" s="23">
        <f>SUBTOTAL(109,CashPaidOut35[Total])</f>
        <v>0</v>
      </c>
      <c r="R40" s="7"/>
      <c r="S40" s="231"/>
      <c r="T40" s="233"/>
      <c r="U40" s="223"/>
    </row>
    <row r="41" spans="1:21" x14ac:dyDescent="0.2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231"/>
      <c r="T41" s="233"/>
      <c r="U41" s="223"/>
    </row>
    <row r="42" spans="1:21" x14ac:dyDescent="0.2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231"/>
      <c r="T42" s="233"/>
      <c r="U42" s="223"/>
    </row>
    <row r="43" spans="1:21" ht="16" thickBot="1" x14ac:dyDescent="0.25">
      <c r="A43" s="253" t="s">
        <v>199</v>
      </c>
      <c r="B43" s="18"/>
      <c r="C43" s="257">
        <f t="shared" ref="C43:N43" si="2">C13-C40</f>
        <v>0</v>
      </c>
      <c r="D43" s="257">
        <f t="shared" si="2"/>
        <v>0</v>
      </c>
      <c r="E43" s="257">
        <f t="shared" si="2"/>
        <v>0</v>
      </c>
      <c r="F43" s="257">
        <f t="shared" si="2"/>
        <v>0</v>
      </c>
      <c r="G43" s="257">
        <f t="shared" si="2"/>
        <v>0</v>
      </c>
      <c r="H43" s="257">
        <f t="shared" si="2"/>
        <v>0</v>
      </c>
      <c r="I43" s="257">
        <f t="shared" si="2"/>
        <v>0</v>
      </c>
      <c r="J43" s="257">
        <f t="shared" si="2"/>
        <v>0</v>
      </c>
      <c r="K43" s="257">
        <f t="shared" si="2"/>
        <v>0</v>
      </c>
      <c r="L43" s="257">
        <f t="shared" si="2"/>
        <v>0</v>
      </c>
      <c r="M43" s="257">
        <f t="shared" si="2"/>
        <v>0</v>
      </c>
      <c r="N43" s="257">
        <f t="shared" si="2"/>
        <v>0</v>
      </c>
      <c r="O43" s="257"/>
      <c r="P43" s="18"/>
      <c r="Q43" s="257">
        <f>Q13-Q40</f>
        <v>0</v>
      </c>
      <c r="R43" s="258"/>
      <c r="S43" s="231"/>
      <c r="T43" s="233"/>
      <c r="U43" s="223"/>
    </row>
    <row r="44" spans="1:21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5"/>
      <c r="T44" s="136"/>
      <c r="U44" s="225"/>
    </row>
    <row r="45" spans="1:21" ht="16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136"/>
      <c r="T45" s="136"/>
      <c r="U45" s="225"/>
    </row>
    <row r="46" spans="1:21" ht="16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136"/>
      <c r="T46" s="136"/>
      <c r="U46" s="225"/>
    </row>
    <row r="47" spans="1:2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36"/>
      <c r="T47" s="136"/>
    </row>
    <row r="48" spans="1:21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1:18" x14ac:dyDescent="0.2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</sheetData>
  <mergeCells count="3">
    <mergeCell ref="A14:R14"/>
    <mergeCell ref="A41:R41"/>
    <mergeCell ref="A42:R42"/>
  </mergeCells>
  <conditionalFormatting sqref="D13:O13">
    <cfRule type="expression" dxfId="84" priority="1">
      <formula>D13&lt;0</formula>
    </cfRule>
  </conditionalFormatting>
  <conditionalFormatting sqref="D6:O6">
    <cfRule type="expression" dxfId="83" priority="3">
      <formula>D6&lt;0</formula>
    </cfRule>
  </conditionalFormatting>
  <conditionalFormatting sqref="D43:O43">
    <cfRule type="expression" dxfId="82" priority="2">
      <formula>D43&lt;0</formula>
    </cfRule>
  </conditionalFormatting>
  <pageMargins left="0" right="0" top="0" bottom="0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B8041A9-3C98-464D-8D95-D91F7D5BDA9F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5" id="{A334CB9E-2D8E-4BA1-BF41-9CEC76D974EB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6" id="{82725643-9821-4D3A-B697-D4C2A3DEF79C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Q43 C43:O43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9A7557F-3BAF-417C-8B71-4D49DEDFDA5F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Kassavirtalaskelma3v!C43:O43</xm:f>
              <xm:sqref>R43</xm:sqref>
            </x14:sparkline>
            <x14:sparkline>
              <xm:f>Kassavirtalaskelma3v!C13:O13</xm:f>
              <xm:sqref>R13</xm:sqref>
            </x14:sparkline>
            <x14:sparkline>
              <xm:f>Kassavirtalaskelma3v!C40:O40</xm:f>
              <xm:sqref>R40</xm:sqref>
            </x14:sparkline>
            <x14:sparkline>
              <xm:f>Kassavirtalaskelma3v!C6:O6</xm:f>
              <xm:sqref>R6</xm:sqref>
            </x14:sparkline>
            <x14:sparkline>
              <xm:f>Kassavirtalaskelma3v!C12:O12</xm:f>
              <xm:sqref>R12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Rahoituslaskelma</vt:lpstr>
      <vt:lpstr>Kannattavuuslaskelma</vt:lpstr>
      <vt:lpstr>Kk-myyntilaskelma</vt:lpstr>
      <vt:lpstr>Kassavirtalaskelma1v</vt:lpstr>
      <vt:lpstr>Kassavirtalaskelma2v</vt:lpstr>
      <vt:lpstr>Kassavirtalaskelma3v</vt:lpstr>
      <vt:lpstr>Kassavirtalaskelma2v!FiscalYearStartDate</vt:lpstr>
      <vt:lpstr>Kassavirtalaskelma3v!FiscalYearStartDate</vt:lpstr>
      <vt:lpstr>FiscalYearStartDate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Mohamed Mona</cp:lastModifiedBy>
  <cp:lastPrinted>2019-08-09T06:40:01Z</cp:lastPrinted>
  <dcterms:created xsi:type="dcterms:W3CDTF">2018-04-09T12:36:31Z</dcterms:created>
  <dcterms:modified xsi:type="dcterms:W3CDTF">2020-01-19T20:54:49Z</dcterms:modified>
</cp:coreProperties>
</file>