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ida/Dropbox/Work_YritysEspoo/"/>
    </mc:Choice>
  </mc:AlternateContent>
  <xr:revisionPtr revIDLastSave="0" documentId="8_{EA38262B-1C36-1C44-807F-CC1BAD736405}" xr6:coauthVersionLast="36" xr6:coauthVersionMax="36" xr10:uidLastSave="{00000000-0000-0000-0000-000000000000}"/>
  <bookViews>
    <workbookView xWindow="0" yWindow="460" windowWidth="28800" windowHeight="15840" activeTab="3" xr2:uid="{14924611-D713-4AF8-AFC7-8B4F86417AC2}"/>
  </bookViews>
  <sheets>
    <sheet name="Funding" sheetId="5" r:id="rId1"/>
    <sheet name="Profitability" sheetId="4" r:id="rId2"/>
    <sheet name="Monthly sales" sheetId="3" r:id="rId3"/>
    <sheet name="1yearcashflow" sheetId="6" r:id="rId4"/>
    <sheet name="2yearcashflow" sheetId="10" r:id="rId5"/>
    <sheet name="3yearcashflow" sheetId="11" r:id="rId6"/>
  </sheets>
  <definedNames>
    <definedName name="FiscalYearStartDate" localSheetId="4">'2yearcashflow'!$A$4</definedName>
    <definedName name="FiscalYearStartDate" localSheetId="5">'3yearcashflow'!$A$4</definedName>
    <definedName name="FiscalYearStartDate">'1yearcashflow'!$A$4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6" l="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41" i="11" s="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Q11" i="11"/>
  <c r="Q10" i="11"/>
  <c r="Q9" i="11"/>
  <c r="Q12" i="11" s="1"/>
  <c r="O3" i="11"/>
  <c r="N3" i="11"/>
  <c r="M3" i="11"/>
  <c r="L3" i="11"/>
  <c r="K3" i="11"/>
  <c r="J3" i="11"/>
  <c r="I3" i="11"/>
  <c r="H3" i="11"/>
  <c r="G3" i="11"/>
  <c r="F3" i="11"/>
  <c r="E3" i="11"/>
  <c r="D3" i="11"/>
  <c r="O41" i="10" l="1"/>
  <c r="N41" i="10"/>
  <c r="M41" i="10"/>
  <c r="L41" i="10"/>
  <c r="K41" i="10"/>
  <c r="J41" i="10"/>
  <c r="I41" i="10"/>
  <c r="H41" i="10"/>
  <c r="G41" i="10"/>
  <c r="F41" i="10"/>
  <c r="E41" i="10"/>
  <c r="D41" i="10"/>
  <c r="C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41" i="10" s="1"/>
  <c r="Q16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Q11" i="10"/>
  <c r="Q10" i="10"/>
  <c r="Q9" i="10"/>
  <c r="Q12" i="10" s="1"/>
  <c r="O3" i="10"/>
  <c r="N3" i="10"/>
  <c r="M3" i="10"/>
  <c r="L3" i="10"/>
  <c r="K3" i="10"/>
  <c r="J3" i="10"/>
  <c r="I3" i="10"/>
  <c r="H3" i="10"/>
  <c r="G3" i="10"/>
  <c r="F3" i="10"/>
  <c r="E3" i="10"/>
  <c r="D3" i="10"/>
  <c r="Q25" i="6" l="1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4" i="6"/>
  <c r="Q23" i="6"/>
  <c r="Q22" i="6"/>
  <c r="Q21" i="6"/>
  <c r="Q20" i="6"/>
  <c r="Q19" i="6"/>
  <c r="Q18" i="6"/>
  <c r="Q17" i="6"/>
  <c r="Q16" i="6"/>
  <c r="C13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Q11" i="6"/>
  <c r="Q10" i="6"/>
  <c r="Q9" i="6"/>
  <c r="O3" i="6"/>
  <c r="N3" i="6"/>
  <c r="M3" i="6"/>
  <c r="L3" i="6"/>
  <c r="K3" i="6"/>
  <c r="J3" i="6"/>
  <c r="I3" i="6"/>
  <c r="H3" i="6"/>
  <c r="G3" i="6"/>
  <c r="F3" i="6"/>
  <c r="E3" i="6"/>
  <c r="C44" i="6" l="1"/>
  <c r="D6" i="6" s="1"/>
  <c r="D13" i="6" s="1"/>
  <c r="D44" i="6" s="1"/>
  <c r="E6" i="6" s="1"/>
  <c r="E13" i="6" s="1"/>
  <c r="E44" i="6" s="1"/>
  <c r="F6" i="6" s="1"/>
  <c r="F13" i="6" s="1"/>
  <c r="F44" i="6" s="1"/>
  <c r="G6" i="6" s="1"/>
  <c r="G13" i="6" s="1"/>
  <c r="G44" i="6" s="1"/>
  <c r="H6" i="6" s="1"/>
  <c r="H13" i="6" s="1"/>
  <c r="H44" i="6" s="1"/>
  <c r="I6" i="6" s="1"/>
  <c r="I13" i="6" s="1"/>
  <c r="I44" i="6" s="1"/>
  <c r="J6" i="6" s="1"/>
  <c r="J13" i="6" s="1"/>
  <c r="J44" i="6" s="1"/>
  <c r="K6" i="6" s="1"/>
  <c r="K13" i="6" s="1"/>
  <c r="K44" i="6" s="1"/>
  <c r="L6" i="6" s="1"/>
  <c r="L13" i="6" s="1"/>
  <c r="L44" i="6" s="1"/>
  <c r="M6" i="6" s="1"/>
  <c r="M13" i="6" s="1"/>
  <c r="M44" i="6" s="1"/>
  <c r="N6" i="6" s="1"/>
  <c r="N13" i="6" s="1"/>
  <c r="N44" i="6" s="1"/>
  <c r="O6" i="6" s="1"/>
  <c r="O13" i="6" s="1"/>
  <c r="O44" i="6" s="1"/>
  <c r="C6" i="10" s="1"/>
  <c r="C13" i="10" s="1"/>
  <c r="C44" i="10" s="1"/>
  <c r="D6" i="10" s="1"/>
  <c r="D13" i="10" s="1"/>
  <c r="D44" i="10" s="1"/>
  <c r="E6" i="10" s="1"/>
  <c r="E13" i="10" s="1"/>
  <c r="E44" i="10" s="1"/>
  <c r="F6" i="10" s="1"/>
  <c r="F13" i="10" s="1"/>
  <c r="F44" i="10" s="1"/>
  <c r="G6" i="10" s="1"/>
  <c r="G13" i="10" s="1"/>
  <c r="G44" i="10" s="1"/>
  <c r="H6" i="10" s="1"/>
  <c r="H13" i="10" s="1"/>
  <c r="H44" i="10" s="1"/>
  <c r="I6" i="10" s="1"/>
  <c r="I13" i="10" s="1"/>
  <c r="I44" i="10" s="1"/>
  <c r="J6" i="10" s="1"/>
  <c r="J13" i="10" s="1"/>
  <c r="J44" i="10" s="1"/>
  <c r="K6" i="10" s="1"/>
  <c r="K13" i="10" s="1"/>
  <c r="K44" i="10" s="1"/>
  <c r="L6" i="10" s="1"/>
  <c r="L13" i="10" s="1"/>
  <c r="L44" i="10" s="1"/>
  <c r="M6" i="10" s="1"/>
  <c r="M13" i="10" s="1"/>
  <c r="M44" i="10" s="1"/>
  <c r="N6" i="10" s="1"/>
  <c r="N13" i="10" s="1"/>
  <c r="N44" i="10" s="1"/>
  <c r="O6" i="10" s="1"/>
  <c r="Q12" i="6"/>
  <c r="Q41" i="6"/>
  <c r="C34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B31" i="4"/>
  <c r="C11" i="4"/>
  <c r="C9" i="4"/>
  <c r="C7" i="4"/>
  <c r="C6" i="4"/>
  <c r="B8" i="4"/>
  <c r="B10" i="4" s="1"/>
  <c r="B12" i="4" s="1"/>
  <c r="Q6" i="10" l="1"/>
  <c r="Q13" i="10" s="1"/>
  <c r="Q44" i="10" s="1"/>
  <c r="O13" i="10"/>
  <c r="O44" i="10" s="1"/>
  <c r="C6" i="11" s="1"/>
  <c r="C13" i="11" s="1"/>
  <c r="C44" i="11" s="1"/>
  <c r="D6" i="11" s="1"/>
  <c r="D13" i="11" s="1"/>
  <c r="D44" i="11" s="1"/>
  <c r="E6" i="11" s="1"/>
  <c r="E13" i="11" s="1"/>
  <c r="E44" i="11" s="1"/>
  <c r="F6" i="11" s="1"/>
  <c r="F13" i="11" s="1"/>
  <c r="F44" i="11" s="1"/>
  <c r="G6" i="11" s="1"/>
  <c r="G13" i="11" s="1"/>
  <c r="G44" i="11" s="1"/>
  <c r="H6" i="11" s="1"/>
  <c r="H13" i="11" s="1"/>
  <c r="H44" i="11" s="1"/>
  <c r="I6" i="11" s="1"/>
  <c r="I13" i="11" s="1"/>
  <c r="I44" i="11" s="1"/>
  <c r="J6" i="11" s="1"/>
  <c r="J13" i="11" s="1"/>
  <c r="J44" i="11" s="1"/>
  <c r="K6" i="11" s="1"/>
  <c r="K13" i="11" s="1"/>
  <c r="K44" i="11" s="1"/>
  <c r="L6" i="11" s="1"/>
  <c r="L13" i="11" s="1"/>
  <c r="L44" i="11" s="1"/>
  <c r="M6" i="11" s="1"/>
  <c r="M13" i="11" s="1"/>
  <c r="M44" i="11" s="1"/>
  <c r="N6" i="11" s="1"/>
  <c r="N13" i="11" s="1"/>
  <c r="N44" i="11" s="1"/>
  <c r="O6" i="11" s="1"/>
  <c r="Q6" i="6"/>
  <c r="Q13" i="6" s="1"/>
  <c r="Q44" i="6" s="1"/>
  <c r="B33" i="4"/>
  <c r="B35" i="4" s="1"/>
  <c r="B36" i="4" s="1"/>
  <c r="B37" i="4" s="1"/>
  <c r="C8" i="4"/>
  <c r="C10" i="4" s="1"/>
  <c r="C12" i="4" s="1"/>
  <c r="C31" i="4"/>
  <c r="Q6" i="11" l="1"/>
  <c r="Q13" i="11" s="1"/>
  <c r="Q44" i="11" s="1"/>
  <c r="O13" i="11"/>
  <c r="O44" i="11" s="1"/>
  <c r="C33" i="4"/>
  <c r="C35" i="4" s="1"/>
  <c r="C41" i="4" s="1"/>
  <c r="C42" i="4" s="1"/>
  <c r="C43" i="4" s="1"/>
  <c r="C44" i="4" s="1"/>
  <c r="D8" i="4"/>
  <c r="D10" i="4" s="1"/>
  <c r="D12" i="4" s="1"/>
  <c r="C36" i="4" l="1"/>
  <c r="C37" i="4" s="1"/>
  <c r="E34" i="4"/>
  <c r="Q14" i="4" s="1"/>
  <c r="R14" i="4" s="1"/>
  <c r="S14" i="4" s="1"/>
  <c r="E6" i="4"/>
  <c r="E36" i="5" l="1"/>
  <c r="E44" i="5" l="1"/>
  <c r="E33" i="5"/>
  <c r="E48" i="5" l="1"/>
  <c r="D31" i="4"/>
  <c r="E7" i="4"/>
  <c r="E8" i="4"/>
  <c r="E16" i="4"/>
  <c r="E17" i="4"/>
  <c r="E18" i="4"/>
  <c r="E19" i="4"/>
  <c r="Q16" i="4" s="1"/>
  <c r="R16" i="4" s="1"/>
  <c r="S16" i="4" s="1"/>
  <c r="E20" i="4"/>
  <c r="E21" i="4"/>
  <c r="Q17" i="4" s="1"/>
  <c r="R17" i="4" s="1"/>
  <c r="S17" i="4" s="1"/>
  <c r="E22" i="4"/>
  <c r="E23" i="4"/>
  <c r="E24" i="4"/>
  <c r="E25" i="4"/>
  <c r="E26" i="4"/>
  <c r="E27" i="4"/>
  <c r="E28" i="4"/>
  <c r="E29" i="4"/>
  <c r="E30" i="4"/>
  <c r="E15" i="4"/>
  <c r="E9" i="4"/>
  <c r="Q21" i="4" s="1"/>
  <c r="R21" i="4" s="1"/>
  <c r="S21" i="4" s="1"/>
  <c r="E11" i="4"/>
  <c r="L18" i="3"/>
  <c r="M19" i="3" s="1"/>
  <c r="J18" i="3"/>
  <c r="K19" i="3" s="1"/>
  <c r="H18" i="3"/>
  <c r="I18" i="3" s="1"/>
  <c r="F18" i="3"/>
  <c r="G18" i="3" s="1"/>
  <c r="D18" i="3"/>
  <c r="E19" i="3" s="1"/>
  <c r="B18" i="3"/>
  <c r="C19" i="3" s="1"/>
  <c r="M8" i="3"/>
  <c r="M13" i="3" s="1"/>
  <c r="K8" i="3"/>
  <c r="K16" i="3" s="1"/>
  <c r="I8" i="3"/>
  <c r="I15" i="3" s="1"/>
  <c r="G8" i="3"/>
  <c r="G14" i="3" s="1"/>
  <c r="E8" i="3"/>
  <c r="E13" i="3" s="1"/>
  <c r="C8" i="3"/>
  <c r="C16" i="3" s="1"/>
  <c r="Q20" i="4" l="1"/>
  <c r="R20" i="4" s="1"/>
  <c r="S20" i="4" s="1"/>
  <c r="M12" i="3"/>
  <c r="Q18" i="4"/>
  <c r="R18" i="4" s="1"/>
  <c r="S18" i="4" s="1"/>
  <c r="Q15" i="4"/>
  <c r="R15" i="4" s="1"/>
  <c r="S15" i="4" s="1"/>
  <c r="M16" i="3"/>
  <c r="K14" i="3"/>
  <c r="K11" i="3"/>
  <c r="K15" i="3"/>
  <c r="M11" i="3"/>
  <c r="M15" i="3"/>
  <c r="M18" i="3"/>
  <c r="E31" i="4"/>
  <c r="D33" i="4"/>
  <c r="D35" i="4" s="1"/>
  <c r="I19" i="3"/>
  <c r="G19" i="3"/>
  <c r="N19" i="3" s="1"/>
  <c r="M22" i="3" s="1"/>
  <c r="N22" i="3" s="1"/>
  <c r="E18" i="3"/>
  <c r="I14" i="3"/>
  <c r="E16" i="3"/>
  <c r="E15" i="3"/>
  <c r="E12" i="3"/>
  <c r="E11" i="3"/>
  <c r="C15" i="3"/>
  <c r="C11" i="3"/>
  <c r="C14" i="3"/>
  <c r="G13" i="3"/>
  <c r="G12" i="3"/>
  <c r="I13" i="3"/>
  <c r="G11" i="3"/>
  <c r="I12" i="3"/>
  <c r="C13" i="3"/>
  <c r="K13" i="3"/>
  <c r="E14" i="3"/>
  <c r="M14" i="3"/>
  <c r="M17" i="3" s="1"/>
  <c r="G15" i="3"/>
  <c r="I16" i="3"/>
  <c r="C18" i="3"/>
  <c r="K18" i="3"/>
  <c r="G16" i="3"/>
  <c r="I11" i="3"/>
  <c r="C12" i="3"/>
  <c r="K12" i="3"/>
  <c r="K17" i="3" l="1"/>
  <c r="N16" i="3"/>
  <c r="N15" i="3"/>
  <c r="N18" i="3"/>
  <c r="M21" i="3" s="1"/>
  <c r="N21" i="3" s="1"/>
  <c r="D36" i="4"/>
  <c r="D37" i="4" s="1"/>
  <c r="E10" i="4"/>
  <c r="E12" i="4" s="1"/>
  <c r="N12" i="3"/>
  <c r="I17" i="3"/>
  <c r="N11" i="3"/>
  <c r="E17" i="3"/>
  <c r="N14" i="3"/>
  <c r="N13" i="3"/>
  <c r="C17" i="3"/>
  <c r="G17" i="3"/>
  <c r="E33" i="4" l="1"/>
  <c r="E35" i="4" s="1"/>
  <c r="N17" i="3"/>
  <c r="M23" i="3" s="1"/>
  <c r="E36" i="4" l="1"/>
  <c r="D41" i="4"/>
  <c r="D42" i="4" s="1"/>
  <c r="N23" i="3"/>
  <c r="D43" i="4" l="1"/>
  <c r="D44" i="4" s="1"/>
  <c r="M24" i="3"/>
  <c r="E37" i="4"/>
  <c r="Q11" i="4" s="1"/>
  <c r="Q12" i="4"/>
  <c r="N24" i="3" l="1"/>
  <c r="M25" i="3"/>
  <c r="M26" i="3"/>
  <c r="E41" i="4"/>
  <c r="E42" i="4" s="1"/>
  <c r="E43" i="4" s="1"/>
  <c r="E44" i="4" s="1"/>
  <c r="Q13" i="4"/>
  <c r="R13" i="4" s="1"/>
  <c r="Q19" i="4" l="1"/>
  <c r="Q22" i="4" s="1"/>
  <c r="Q24" i="4" s="1"/>
  <c r="Q26" i="4" s="1"/>
  <c r="R12" i="4"/>
  <c r="R11" i="4" s="1"/>
  <c r="S13" i="4"/>
  <c r="R19" i="4"/>
  <c r="R22" i="4" s="1"/>
  <c r="R24" i="4" s="1"/>
  <c r="R26" i="4" s="1"/>
  <c r="S12" i="4" l="1"/>
  <c r="S11" i="4" s="1"/>
  <c r="S19" i="4"/>
  <c r="S22" i="4" s="1"/>
  <c r="S24" i="4" s="1"/>
  <c r="S26" i="4" s="1"/>
</calcChain>
</file>

<file path=xl/sharedStrings.xml><?xml version="1.0" encoding="utf-8"?>
<sst xmlns="http://schemas.openxmlformats.org/spreadsheetml/2006/main" count="360" uniqueCount="210">
  <si>
    <t>€</t>
  </si>
  <si>
    <t>+ €</t>
  </si>
  <si>
    <t>= €</t>
  </si>
  <si>
    <t>= €/kk</t>
  </si>
  <si>
    <t>= €/pv</t>
  </si>
  <si>
    <t>= €/h</t>
  </si>
  <si>
    <t>© YritysEspoo</t>
  </si>
  <si>
    <t>FINANCING THE BUSINESS ACTIVITY</t>
  </si>
  <si>
    <t>This form helps you to survey the costs for starting up your business (NEED FOR MONEY) and to plan the</t>
  </si>
  <si>
    <t>important and justified from the company's point of view? How much working capital do you need to</t>
  </si>
  <si>
    <t>manage? How much stock do you need to reach the sales target? Can you or the shareholders invest</t>
  </si>
  <si>
    <t>money, apparatus or tools in the company? Do you need to takea a loan? From where will you take it and</t>
  </si>
  <si>
    <t>FOR MONEY = MONEY SOURCES.</t>
  </si>
  <si>
    <t>financing of the business operation (MONEY SOURCES). Think carefully about: which acquisitions are</t>
  </si>
  <si>
    <t>INVESTMENTS</t>
  </si>
  <si>
    <t>If applicable, purchase price of the business</t>
  </si>
  <si>
    <t>Initial expences</t>
  </si>
  <si>
    <t>Means of production/IT</t>
  </si>
  <si>
    <t>Contributions in kind (already existing tools etc.)</t>
  </si>
  <si>
    <t>Installation work</t>
  </si>
  <si>
    <t>Car</t>
  </si>
  <si>
    <t>Furniture</t>
  </si>
  <si>
    <t>Renovation</t>
  </si>
  <si>
    <t>Office material</t>
  </si>
  <si>
    <t>Website, brochures</t>
  </si>
  <si>
    <t>Office rent/rent deposit</t>
  </si>
  <si>
    <t>Apparatus / leasing</t>
  </si>
  <si>
    <t>Entrepreneur's own income</t>
  </si>
  <si>
    <t>Employees' wages</t>
  </si>
  <si>
    <t>Other working capital expenditure</t>
  </si>
  <si>
    <t>Initial stock</t>
  </si>
  <si>
    <t>Cash reserve</t>
  </si>
  <si>
    <t>NEED FOR MONEY (before starting the business)</t>
  </si>
  <si>
    <t>WORKING CAPITAL 1-3 MONTHS</t>
  </si>
  <si>
    <t>CURRENT AND LIQUID ASSETS</t>
  </si>
  <si>
    <t>MONEY NEED IN ALL</t>
  </si>
  <si>
    <t>MONEY SOURCES (how are you going to finance initial costs?)</t>
  </si>
  <si>
    <t>PAID-UP CAPITAL</t>
  </si>
  <si>
    <t>Own apparatus</t>
  </si>
  <si>
    <t>Own investments</t>
  </si>
  <si>
    <t>BORROWED CAPITAL</t>
  </si>
  <si>
    <t>Bank loan</t>
  </si>
  <si>
    <t>Finnvera loan</t>
  </si>
  <si>
    <t>Other loans (from friends, family etc.)</t>
  </si>
  <si>
    <t>Others (for example credit limit etc.)</t>
  </si>
  <si>
    <t>what will the costs be?</t>
  </si>
  <si>
    <t xml:space="preserve">When you are starting up a business activity you have to remember that the NEED </t>
  </si>
  <si>
    <t>MONEY SOURCES IN ALL</t>
  </si>
  <si>
    <t>Difference between the need for money and money sources, €</t>
  </si>
  <si>
    <t xml:space="preserve">CALCULATION THE PROFITABILITY </t>
  </si>
  <si>
    <t>This calculation will assist you in estimating the company's sales target.</t>
  </si>
  <si>
    <t>Per month</t>
  </si>
  <si>
    <t>Per year (12months)</t>
  </si>
  <si>
    <t xml:space="preserve">  + loan payments</t>
  </si>
  <si>
    <t xml:space="preserve"> = INCOME AFTER TAX</t>
  </si>
  <si>
    <t xml:space="preserve">  + Tax payments (state + local)</t>
  </si>
  <si>
    <t xml:space="preserve"> = NEED FOR FINANCING (own gross income)</t>
  </si>
  <si>
    <t xml:space="preserve">  + interest on business loan</t>
  </si>
  <si>
    <t>A = IN ALL</t>
  </si>
  <si>
    <t>FIXED COSTS (without VAT):</t>
  </si>
  <si>
    <t xml:space="preserve">  entrepreneur's pension insurance (YEL)</t>
  </si>
  <si>
    <t xml:space="preserve">  other insurances</t>
  </si>
  <si>
    <t xml:space="preserve">  employees' wages</t>
  </si>
  <si>
    <t xml:space="preserve">  additional costs for wages (about 40 %)</t>
  </si>
  <si>
    <t xml:space="preserve">  rent + electricity (and water)</t>
  </si>
  <si>
    <t xml:space="preserve">  leasing payments and other installments</t>
  </si>
  <si>
    <t xml:space="preserve">  marketing</t>
  </si>
  <si>
    <t xml:space="preserve">  telephone, internet</t>
  </si>
  <si>
    <t xml:space="preserve">  car/travelling expenses</t>
  </si>
  <si>
    <t xml:space="preserve">  bookkeeping</t>
  </si>
  <si>
    <t xml:space="preserve">  office costs</t>
  </si>
  <si>
    <t xml:space="preserve">  training</t>
  </si>
  <si>
    <t xml:space="preserve">  newspapers and magazines</t>
  </si>
  <si>
    <t xml:space="preserve">  repairs and maintenance</t>
  </si>
  <si>
    <t xml:space="preserve">  entrepreneur's unemployment fund membership fee</t>
  </si>
  <si>
    <t xml:space="preserve">  other costs</t>
  </si>
  <si>
    <t>B = FIXED COSTS IN ALL</t>
  </si>
  <si>
    <t xml:space="preserve">A+B NEED FOR GROSS MARGIN </t>
  </si>
  <si>
    <t xml:space="preserve"> + Acquisitions (excluding VAT)</t>
  </si>
  <si>
    <t xml:space="preserve"> = TURNOVER</t>
  </si>
  <si>
    <t xml:space="preserve"> + Value added tax (varies, the most common 24%)</t>
  </si>
  <si>
    <t xml:space="preserve"> = SALES / INVOICING IN TOTAL</t>
  </si>
  <si>
    <t xml:space="preserve">                      TARGET FOR INVOICING</t>
  </si>
  <si>
    <t>Without tax</t>
  </si>
  <si>
    <t>With VAT</t>
  </si>
  <si>
    <t>Target for daily invoicing (e.g. 20 days/month)</t>
  </si>
  <si>
    <t>Target for hourly invoicing (e.g. 8 hours/day)</t>
  </si>
  <si>
    <t>MONTHLY SALES CALCULATION</t>
  </si>
  <si>
    <t xml:space="preserve">Products/name of the </t>
  </si>
  <si>
    <t>product group</t>
  </si>
  <si>
    <t>Product/Service 2</t>
  </si>
  <si>
    <t>Product/Service 1</t>
  </si>
  <si>
    <t>Product/Service 3</t>
  </si>
  <si>
    <t>Product/Service 4</t>
  </si>
  <si>
    <t>Product/Service 5</t>
  </si>
  <si>
    <t>Product/Service 6</t>
  </si>
  <si>
    <t xml:space="preserve"> - costs</t>
  </si>
  <si>
    <t xml:space="preserve"> = margin</t>
  </si>
  <si>
    <t>Customer/customer group</t>
  </si>
  <si>
    <t>pieces, hours etc.</t>
  </si>
  <si>
    <t>EUR/month</t>
  </si>
  <si>
    <t>excl. VAT</t>
  </si>
  <si>
    <t>In total</t>
  </si>
  <si>
    <t>per month</t>
  </si>
  <si>
    <t>per year</t>
  </si>
  <si>
    <t>Sales margin total:</t>
  </si>
  <si>
    <t>Total sales of the product:</t>
  </si>
  <si>
    <t>Net revenue (excl. VAT)</t>
  </si>
  <si>
    <t>Total costs:</t>
  </si>
  <si>
    <t>Difference (possible need of additional sales)</t>
  </si>
  <si>
    <t>Difference % (target is to obtain difference around 80%)</t>
  </si>
  <si>
    <t>Sales margin requi-rement from the pro-fitability calculation  months/year *)</t>
  </si>
  <si>
    <t>Target for monthly invoicing (e.g. 11 months/year)</t>
  </si>
  <si>
    <t>growth %</t>
  </si>
  <si>
    <t>year 2</t>
  </si>
  <si>
    <t>year 3</t>
  </si>
  <si>
    <t>euros</t>
  </si>
  <si>
    <t>year +1</t>
  </si>
  <si>
    <t>year +2</t>
  </si>
  <si>
    <t>year +3</t>
  </si>
  <si>
    <t>for the business.</t>
  </si>
  <si>
    <t>The difference between the need for money and money</t>
  </si>
  <si>
    <t>sources should be 0</t>
  </si>
  <si>
    <t xml:space="preserve">INSTRUCTION: For example if your monthly need </t>
  </si>
  <si>
    <t>will be around 550 €/month.</t>
  </si>
  <si>
    <t xml:space="preserve">INSTRUCTION: As a starting entrepreneur you will get 22% </t>
  </si>
  <si>
    <t xml:space="preserve">discount about the normal YEL payments, for example from </t>
  </si>
  <si>
    <t>monthly YEL payment is around 200 €.</t>
  </si>
  <si>
    <t xml:space="preserve">for net income is 1700 €, the taxes from that </t>
  </si>
  <si>
    <t>3 YEARS PERFORMANCE PLAN</t>
  </si>
  <si>
    <t>Income</t>
  </si>
  <si>
    <t>Costs</t>
  </si>
  <si>
    <t>Sales proceeds</t>
  </si>
  <si>
    <t>VAT</t>
  </si>
  <si>
    <t>NET REVENUE (TURNOVER)</t>
  </si>
  <si>
    <t>Total costs (material and supplies costs)</t>
  </si>
  <si>
    <t>Staff costs</t>
  </si>
  <si>
    <t>Company premises / rents</t>
  </si>
  <si>
    <t>Marketing</t>
  </si>
  <si>
    <t>Other operating costs</t>
  </si>
  <si>
    <t>OPERATING MARGIN (PROFIT)</t>
  </si>
  <si>
    <t>Financing costs</t>
  </si>
  <si>
    <t>Taxes</t>
  </si>
  <si>
    <t>FINANCIAL PERFORMANCE</t>
  </si>
  <si>
    <t>Depreciation</t>
  </si>
  <si>
    <t>NET PROFIT</t>
  </si>
  <si>
    <t>Occasional income/costs</t>
  </si>
  <si>
    <t>TOTAL PROFIT</t>
  </si>
  <si>
    <t>Registration fee for private traders (Tmi) is 60 €, limited companies (Oy) 275 €</t>
  </si>
  <si>
    <t>INSTRUCTION: you can change the percentages according to your own estimations</t>
  </si>
  <si>
    <t>Mobile phone</t>
  </si>
  <si>
    <t xml:space="preserve">This figure will be automatically </t>
  </si>
  <si>
    <t>transferred in sales calculation in the green spot</t>
  </si>
  <si>
    <t xml:space="preserve"> from your profitability calculation</t>
  </si>
  <si>
    <t xml:space="preserve">*) Monthly sales margin requirement </t>
  </si>
  <si>
    <t xml:space="preserve">13 076 €:n annual working income the discounted </t>
  </si>
  <si>
    <t>First six months x.x.-x.x.2020</t>
  </si>
  <si>
    <t>Target in 1-3 years time</t>
  </si>
  <si>
    <t>TARGET PROFIT (entrepreneur's own need for net income or salary)</t>
  </si>
  <si>
    <t xml:space="preserve">Please evaluate here the value of the existing equipment and tools you already have </t>
  </si>
  <si>
    <t>unit price (without VAT)</t>
  </si>
  <si>
    <t>Nimikearvio</t>
  </si>
  <si>
    <r>
      <t xml:space="preserve">Cashflow </t>
    </r>
    <r>
      <rPr>
        <b/>
        <sz val="14"/>
        <color theme="3"/>
        <rFont val="Calibri Light"/>
        <family val="2"/>
        <scheme val="major"/>
      </rPr>
      <t>calculation</t>
    </r>
  </si>
  <si>
    <t>1. YEAR</t>
  </si>
  <si>
    <t>Accounting period starts:</t>
  </si>
  <si>
    <t>(Before) starting</t>
  </si>
  <si>
    <t>Total</t>
  </si>
  <si>
    <t>Pension insurance payment (YEL)</t>
  </si>
  <si>
    <t>Other insurances</t>
  </si>
  <si>
    <t>Rent</t>
  </si>
  <si>
    <t>Rent deposit</t>
  </si>
  <si>
    <t>Electricity / water</t>
  </si>
  <si>
    <t>Telephone / internet</t>
  </si>
  <si>
    <t>Accounting</t>
  </si>
  <si>
    <t>Asses-ment</t>
  </si>
  <si>
    <t>Additional side costs for wages</t>
  </si>
  <si>
    <t>Office, bank and postal costs</t>
  </si>
  <si>
    <t>Cleaning etc.</t>
  </si>
  <si>
    <t>Repair and maintenance</t>
  </si>
  <si>
    <t>Acquisitions (raw materials, stock)</t>
  </si>
  <si>
    <t>Investments</t>
  </si>
  <si>
    <t>Other costs (name)</t>
  </si>
  <si>
    <t>Membership fees</t>
  </si>
  <si>
    <t>Software licences etc.</t>
  </si>
  <si>
    <t>Car and travelling expenses</t>
  </si>
  <si>
    <t>Interest on business loan</t>
  </si>
  <si>
    <t>2. YEAR</t>
  </si>
  <si>
    <t>Leasing payments and other installments</t>
  </si>
  <si>
    <t>Share capital, not required from 1.7.2019 on</t>
  </si>
  <si>
    <t>One-time expenditure/initial expences</t>
  </si>
  <si>
    <t>Cash flow /cash (vat 0%)</t>
  </si>
  <si>
    <t>Cash flow/other income (vat 0%)</t>
  </si>
  <si>
    <t>Entrepreneur's salary or personal withdraws/owner's draw</t>
  </si>
  <si>
    <t>Total outflows</t>
  </si>
  <si>
    <t>Total inflows</t>
  </si>
  <si>
    <t>Employees' wages (payroll)</t>
  </si>
  <si>
    <t>Loans payable</t>
  </si>
  <si>
    <t>Opening cash balance</t>
  </si>
  <si>
    <t>Liquidity/ending cash balance</t>
  </si>
  <si>
    <t>Opening cash balance + inflows</t>
  </si>
  <si>
    <t>Cash flow/credit sales (vat 0%)</t>
  </si>
  <si>
    <t>A. (Name)</t>
  </si>
  <si>
    <t>B. (Name)</t>
  </si>
  <si>
    <t>C. (Name)</t>
  </si>
  <si>
    <t>D. (Name)</t>
  </si>
  <si>
    <t>E. (Name)</t>
  </si>
  <si>
    <t>F. (Name)</t>
  </si>
  <si>
    <t>(Name)</t>
  </si>
  <si>
    <t>Cash outflows (vat 0%)</t>
  </si>
  <si>
    <t>Cash inflows from operations (sales)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</si>
</sst>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mmm"/>
    <numFmt numFmtId="165" formatCode="dd"/>
    <numFmt numFmtId="166" formatCode="0_);\-0_)"/>
    <numFmt numFmtId="167" formatCode="#,##0_ ;\-#,##0\ "/>
  </numFmts>
  <fonts count="29" x14ac:knownFonts="1">
    <font>
      <sz val="11"/>
      <color theme="1"/>
      <name val="Calibri"/>
      <family val="2"/>
      <scheme val="minor"/>
    </font>
    <font>
      <sz val="14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.5"/>
      <color theme="1"/>
      <name val="Tahoma"/>
      <family val="2"/>
    </font>
    <font>
      <sz val="11"/>
      <color theme="1"/>
      <name val="Calibri Light"/>
      <family val="2"/>
      <scheme val="major"/>
    </font>
    <font>
      <b/>
      <sz val="11.5"/>
      <color theme="1"/>
      <name val="Calibri Light"/>
      <family val="2"/>
      <scheme val="major"/>
    </font>
    <font>
      <sz val="11.5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4"/>
      <color theme="4"/>
      <name val="Calibri Light"/>
      <family val="2"/>
      <scheme val="major"/>
    </font>
    <font>
      <b/>
      <sz val="14"/>
      <color theme="3"/>
      <name val="Calibri Light"/>
      <family val="2"/>
      <scheme val="major"/>
    </font>
    <font>
      <sz val="16"/>
      <color theme="1" tint="0.14996795556505021"/>
      <name val="Calibri Light"/>
      <family val="2"/>
      <scheme val="major"/>
    </font>
    <font>
      <b/>
      <sz val="11"/>
      <color theme="4" tint="-0.249977111117893"/>
      <name val="Calibri Light"/>
      <family val="2"/>
      <scheme val="major"/>
    </font>
    <font>
      <sz val="10"/>
      <color theme="1" tint="0.14996795556505021"/>
      <name val="Calibri Light"/>
      <family val="2"/>
      <scheme val="major"/>
    </font>
    <font>
      <b/>
      <sz val="10"/>
      <color theme="1" tint="0.14996795556505021"/>
      <name val="Calibri Light"/>
      <family val="2"/>
      <scheme val="major"/>
    </font>
    <font>
      <b/>
      <sz val="10"/>
      <color theme="1" tint="0.14975432599871821"/>
      <name val="Calibri Light"/>
      <family val="2"/>
      <scheme val="major"/>
    </font>
    <font>
      <b/>
      <sz val="10"/>
      <color theme="1" tint="0.14999847407452621"/>
      <name val="Calibri Light"/>
      <family val="2"/>
      <scheme val="major"/>
    </font>
    <font>
      <sz val="18"/>
      <color theme="1" tint="0.14996795556505021"/>
      <name val="Calibri Light"/>
      <family val="2"/>
      <scheme val="major"/>
    </font>
    <font>
      <sz val="10"/>
      <color theme="1" tint="0.14999847407452621"/>
      <name val="Calibri Light"/>
      <family val="2"/>
      <scheme val="major"/>
    </font>
    <font>
      <sz val="10"/>
      <color theme="1" tint="0.14975432599871821"/>
      <name val="Calibri Light"/>
      <family val="2"/>
      <scheme val="major"/>
    </font>
    <font>
      <b/>
      <sz val="10"/>
      <color theme="4" tint="-0.249977111117893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 tint="0.1499984740745262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/>
      <top/>
      <bottom style="thin">
        <color theme="0"/>
      </bottom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4" fillId="0" borderId="54" applyNumberFormat="0" applyFill="0" applyAlignment="0" applyProtection="0"/>
    <xf numFmtId="164" fontId="23" fillId="0" borderId="58">
      <alignment horizontal="right" vertical="center" wrapText="1" indent="1"/>
    </xf>
    <xf numFmtId="166" fontId="28" fillId="10" borderId="63" applyFont="0" applyAlignment="0">
      <alignment vertical="center"/>
    </xf>
  </cellStyleXfs>
  <cellXfs count="28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4" borderId="0" xfId="0" applyFont="1" applyFill="1"/>
    <xf numFmtId="0" fontId="6" fillId="4" borderId="0" xfId="0" applyFont="1" applyFill="1" applyAlignment="1">
      <alignment horizontal="center"/>
    </xf>
    <xf numFmtId="3" fontId="7" fillId="0" borderId="28" xfId="0" applyNumberFormat="1" applyFont="1" applyBorder="1"/>
    <xf numFmtId="3" fontId="7" fillId="8" borderId="22" xfId="0" applyNumberFormat="1" applyFont="1" applyFill="1" applyBorder="1"/>
    <xf numFmtId="0" fontId="5" fillId="8" borderId="12" xfId="0" applyFont="1" applyFill="1" applyBorder="1"/>
    <xf numFmtId="0" fontId="5" fillId="8" borderId="42" xfId="0" applyFont="1" applyFill="1" applyBorder="1"/>
    <xf numFmtId="0" fontId="5" fillId="8" borderId="43" xfId="0" applyFont="1" applyFill="1" applyBorder="1"/>
    <xf numFmtId="3" fontId="7" fillId="0" borderId="22" xfId="0" applyNumberFormat="1" applyFont="1" applyBorder="1"/>
    <xf numFmtId="0" fontId="5" fillId="8" borderId="31" xfId="0" applyFont="1" applyFill="1" applyBorder="1"/>
    <xf numFmtId="0" fontId="5" fillId="8" borderId="32" xfId="0" applyFont="1" applyFill="1" applyBorder="1"/>
    <xf numFmtId="0" fontId="5" fillId="8" borderId="33" xfId="0" applyFont="1" applyFill="1" applyBorder="1"/>
    <xf numFmtId="0" fontId="7" fillId="8" borderId="34" xfId="0" applyFont="1" applyFill="1" applyBorder="1"/>
    <xf numFmtId="0" fontId="7" fillId="8" borderId="30" xfId="0" applyFont="1" applyFill="1" applyBorder="1"/>
    <xf numFmtId="0" fontId="5" fillId="8" borderId="30" xfId="0" applyFont="1" applyFill="1" applyBorder="1"/>
    <xf numFmtId="0" fontId="5" fillId="8" borderId="35" xfId="0" applyFont="1" applyFill="1" applyBorder="1"/>
    <xf numFmtId="0" fontId="7" fillId="0" borderId="30" xfId="0" applyFont="1" applyBorder="1"/>
    <xf numFmtId="3" fontId="7" fillId="0" borderId="19" xfId="0" applyNumberFormat="1" applyFont="1" applyBorder="1"/>
    <xf numFmtId="3" fontId="6" fillId="4" borderId="17" xfId="0" applyNumberFormat="1" applyFont="1" applyFill="1" applyBorder="1"/>
    <xf numFmtId="0" fontId="6" fillId="0" borderId="0" xfId="0" applyFont="1" applyFill="1"/>
    <xf numFmtId="0" fontId="7" fillId="0" borderId="0" xfId="0" applyFont="1" applyAlignment="1">
      <alignment horizontal="right"/>
    </xf>
    <xf numFmtId="0" fontId="7" fillId="8" borderId="12" xfId="0" applyFont="1" applyFill="1" applyBorder="1"/>
    <xf numFmtId="0" fontId="7" fillId="8" borderId="31" xfId="0" applyFont="1" applyFill="1" applyBorder="1"/>
    <xf numFmtId="0" fontId="7" fillId="8" borderId="32" xfId="0" applyFont="1" applyFill="1" applyBorder="1"/>
    <xf numFmtId="0" fontId="5" fillId="0" borderId="0" xfId="0" applyFont="1" applyFill="1" applyBorder="1"/>
    <xf numFmtId="0" fontId="6" fillId="0" borderId="0" xfId="0" applyFont="1" applyFill="1" applyAlignment="1">
      <alignment horizontal="center"/>
    </xf>
    <xf numFmtId="3" fontId="7" fillId="0" borderId="0" xfId="0" applyNumberFormat="1" applyFont="1" applyFill="1" applyBorder="1"/>
    <xf numFmtId="3" fontId="7" fillId="0" borderId="36" xfId="0" applyNumberFormat="1" applyFont="1" applyFill="1" applyBorder="1"/>
    <xf numFmtId="3" fontId="6" fillId="0" borderId="0" xfId="0" applyNumberFormat="1" applyFont="1" applyFill="1" applyBorder="1"/>
    <xf numFmtId="0" fontId="7" fillId="0" borderId="0" xfId="0" applyFont="1" applyFill="1"/>
    <xf numFmtId="0" fontId="4" fillId="0" borderId="0" xfId="0" applyFont="1" applyFill="1"/>
    <xf numFmtId="0" fontId="7" fillId="0" borderId="36" xfId="0" applyFont="1" applyFill="1" applyBorder="1"/>
    <xf numFmtId="0" fontId="7" fillId="0" borderId="0" xfId="0" applyFont="1" applyFill="1" applyBorder="1"/>
    <xf numFmtId="0" fontId="8" fillId="0" borderId="0" xfId="0" applyFont="1"/>
    <xf numFmtId="0" fontId="5" fillId="7" borderId="17" xfId="0" applyFont="1" applyFill="1" applyBorder="1" applyAlignment="1">
      <alignment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8" borderId="53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7" borderId="28" xfId="0" applyFont="1" applyFill="1" applyBorder="1" applyAlignment="1">
      <alignment vertical="center"/>
    </xf>
    <xf numFmtId="0" fontId="5" fillId="8" borderId="46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3" fontId="5" fillId="0" borderId="8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48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0" fontId="5" fillId="7" borderId="23" xfId="0" applyFont="1" applyFill="1" applyBorder="1"/>
    <xf numFmtId="0" fontId="5" fillId="8" borderId="47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3" fontId="5" fillId="0" borderId="3" xfId="0" applyNumberFormat="1" applyFont="1" applyBorder="1"/>
    <xf numFmtId="3" fontId="5" fillId="0" borderId="24" xfId="0" applyNumberFormat="1" applyFont="1" applyBorder="1"/>
    <xf numFmtId="3" fontId="5" fillId="0" borderId="49" xfId="0" applyNumberFormat="1" applyFont="1" applyBorder="1"/>
    <xf numFmtId="3" fontId="5" fillId="0" borderId="4" xfId="0" applyNumberFormat="1" applyFont="1" applyBorder="1"/>
    <xf numFmtId="0" fontId="8" fillId="3" borderId="0" xfId="0" applyFont="1" applyFill="1"/>
    <xf numFmtId="3" fontId="8" fillId="3" borderId="3" xfId="0" applyNumberFormat="1" applyFont="1" applyFill="1" applyBorder="1"/>
    <xf numFmtId="3" fontId="8" fillId="3" borderId="24" xfId="0" applyNumberFormat="1" applyFont="1" applyFill="1" applyBorder="1"/>
    <xf numFmtId="3" fontId="8" fillId="3" borderId="49" xfId="0" applyNumberFormat="1" applyFont="1" applyFill="1" applyBorder="1"/>
    <xf numFmtId="3" fontId="8" fillId="3" borderId="4" xfId="0" applyNumberFormat="1" applyFont="1" applyFill="1" applyBorder="1"/>
    <xf numFmtId="3" fontId="5" fillId="8" borderId="49" xfId="0" applyNumberFormat="1" applyFont="1" applyFill="1" applyBorder="1"/>
    <xf numFmtId="0" fontId="5" fillId="8" borderId="36" xfId="0" applyFont="1" applyFill="1" applyBorder="1"/>
    <xf numFmtId="0" fontId="5" fillId="8" borderId="0" xfId="0" applyFont="1" applyFill="1"/>
    <xf numFmtId="0" fontId="5" fillId="8" borderId="37" xfId="0" applyFont="1" applyFill="1" applyBorder="1"/>
    <xf numFmtId="0" fontId="8" fillId="7" borderId="1" xfId="0" applyFont="1" applyFill="1" applyBorder="1"/>
    <xf numFmtId="0" fontId="8" fillId="7" borderId="44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3" fontId="5" fillId="0" borderId="10" xfId="0" applyNumberFormat="1" applyFont="1" applyBorder="1"/>
    <xf numFmtId="3" fontId="5" fillId="0" borderId="29" xfId="0" applyNumberFormat="1" applyFont="1" applyBorder="1"/>
    <xf numFmtId="3" fontId="5" fillId="0" borderId="50" xfId="0" applyNumberFormat="1" applyFont="1" applyBorder="1"/>
    <xf numFmtId="3" fontId="5" fillId="0" borderId="11" xfId="0" applyNumberFormat="1" applyFont="1" applyBorder="1"/>
    <xf numFmtId="0" fontId="5" fillId="8" borderId="34" xfId="0" applyFont="1" applyFill="1" applyBorder="1"/>
    <xf numFmtId="0" fontId="5" fillId="0" borderId="3" xfId="0" applyFont="1" applyBorder="1"/>
    <xf numFmtId="0" fontId="8" fillId="3" borderId="12" xfId="0" applyFont="1" applyFill="1" applyBorder="1"/>
    <xf numFmtId="3" fontId="8" fillId="3" borderId="13" xfId="0" applyNumberFormat="1" applyFont="1" applyFill="1" applyBorder="1"/>
    <xf numFmtId="3" fontId="8" fillId="3" borderId="41" xfId="0" applyNumberFormat="1" applyFont="1" applyFill="1" applyBorder="1"/>
    <xf numFmtId="3" fontId="8" fillId="3" borderId="51" xfId="0" applyNumberFormat="1" applyFont="1" applyFill="1" applyBorder="1"/>
    <xf numFmtId="3" fontId="8" fillId="3" borderId="14" xfId="0" applyNumberFormat="1" applyFont="1" applyFill="1" applyBorder="1"/>
    <xf numFmtId="0" fontId="5" fillId="0" borderId="10" xfId="0" applyFont="1" applyBorder="1"/>
    <xf numFmtId="3" fontId="5" fillId="0" borderId="0" xfId="0" applyNumberFormat="1" applyFont="1"/>
    <xf numFmtId="0" fontId="8" fillId="7" borderId="13" xfId="0" applyFont="1" applyFill="1" applyBorder="1"/>
    <xf numFmtId="3" fontId="8" fillId="7" borderId="41" xfId="0" applyNumberFormat="1" applyFont="1" applyFill="1" applyBorder="1"/>
    <xf numFmtId="3" fontId="8" fillId="7" borderId="14" xfId="0" applyNumberFormat="1" applyFont="1" applyFill="1" applyBorder="1"/>
    <xf numFmtId="3" fontId="8" fillId="0" borderId="0" xfId="0" applyNumberFormat="1" applyFont="1"/>
    <xf numFmtId="0" fontId="5" fillId="0" borderId="8" xfId="0" applyFont="1" applyBorder="1"/>
    <xf numFmtId="3" fontId="5" fillId="0" borderId="26" xfId="0" applyNumberFormat="1" applyFont="1" applyBorder="1"/>
    <xf numFmtId="3" fontId="5" fillId="0" borderId="9" xfId="0" applyNumberFormat="1" applyFont="1" applyBorder="1"/>
    <xf numFmtId="0" fontId="5" fillId="0" borderId="31" xfId="0" applyFont="1" applyBorder="1"/>
    <xf numFmtId="3" fontId="5" fillId="0" borderId="1" xfId="0" applyNumberFormat="1" applyFont="1" applyBorder="1"/>
    <xf numFmtId="3" fontId="5" fillId="0" borderId="44" xfId="0" applyNumberFormat="1" applyFont="1" applyBorder="1"/>
    <xf numFmtId="3" fontId="5" fillId="8" borderId="46" xfId="0" applyNumberFormat="1" applyFont="1" applyFill="1" applyBorder="1"/>
    <xf numFmtId="3" fontId="5" fillId="0" borderId="2" xfId="0" applyNumberFormat="1" applyFont="1" applyBorder="1"/>
    <xf numFmtId="0" fontId="5" fillId="0" borderId="36" xfId="0" applyFont="1" applyBorder="1"/>
    <xf numFmtId="0" fontId="5" fillId="0" borderId="15" xfId="0" applyFont="1" applyBorder="1"/>
    <xf numFmtId="3" fontId="5" fillId="0" borderId="45" xfId="0" applyNumberFormat="1" applyFont="1" applyBorder="1"/>
    <xf numFmtId="3" fontId="5" fillId="0" borderId="16" xfId="0" applyNumberFormat="1" applyFont="1" applyBorder="1"/>
    <xf numFmtId="0" fontId="8" fillId="7" borderId="5" xfId="0" applyFont="1" applyFill="1" applyBorder="1"/>
    <xf numFmtId="3" fontId="8" fillId="7" borderId="25" xfId="0" applyNumberFormat="1" applyFont="1" applyFill="1" applyBorder="1"/>
    <xf numFmtId="3" fontId="8" fillId="7" borderId="6" xfId="0" applyNumberFormat="1" applyFont="1" applyFill="1" applyBorder="1"/>
    <xf numFmtId="3" fontId="8" fillId="3" borderId="1" xfId="0" applyNumberFormat="1" applyFont="1" applyFill="1" applyBorder="1"/>
    <xf numFmtId="3" fontId="8" fillId="3" borderId="2" xfId="0" applyNumberFormat="1" applyFont="1" applyFill="1" applyBorder="1"/>
    <xf numFmtId="3" fontId="8" fillId="3" borderId="46" xfId="0" applyNumberFormat="1" applyFont="1" applyFill="1" applyBorder="1"/>
    <xf numFmtId="49" fontId="5" fillId="0" borderId="0" xfId="0" applyNumberFormat="1" applyFont="1"/>
    <xf numFmtId="3" fontId="5" fillId="0" borderId="3" xfId="0" applyNumberFormat="1" applyFont="1" applyBorder="1" applyAlignment="1">
      <alignment horizontal="right"/>
    </xf>
    <xf numFmtId="3" fontId="8" fillId="3" borderId="5" xfId="0" applyNumberFormat="1" applyFont="1" applyFill="1" applyBorder="1"/>
    <xf numFmtId="3" fontId="8" fillId="3" borderId="6" xfId="0" applyNumberFormat="1" applyFont="1" applyFill="1" applyBorder="1"/>
    <xf numFmtId="3" fontId="8" fillId="3" borderId="47" xfId="0" applyNumberFormat="1" applyFont="1" applyFill="1" applyBorder="1"/>
    <xf numFmtId="0" fontId="8" fillId="3" borderId="51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/>
    </xf>
    <xf numFmtId="3" fontId="8" fillId="3" borderId="17" xfId="0" applyNumberFormat="1" applyFont="1" applyFill="1" applyBorder="1"/>
    <xf numFmtId="3" fontId="8" fillId="3" borderId="51" xfId="0" applyNumberFormat="1" applyFont="1" applyFill="1" applyBorder="1" applyAlignment="1">
      <alignment horizontal="right"/>
    </xf>
    <xf numFmtId="3" fontId="8" fillId="3" borderId="14" xfId="0" applyNumberFormat="1" applyFont="1" applyFill="1" applyBorder="1" applyAlignment="1">
      <alignment horizontal="right"/>
    </xf>
    <xf numFmtId="3" fontId="8" fillId="0" borderId="21" xfId="0" applyNumberFormat="1" applyFont="1" applyBorder="1"/>
    <xf numFmtId="3" fontId="8" fillId="2" borderId="48" xfId="0" applyNumberFormat="1" applyFont="1" applyFill="1" applyBorder="1"/>
    <xf numFmtId="3" fontId="8" fillId="0" borderId="38" xfId="0" applyNumberFormat="1" applyFont="1" applyBorder="1"/>
    <xf numFmtId="3" fontId="8" fillId="0" borderId="22" xfId="0" applyNumberFormat="1" applyFont="1" applyBorder="1"/>
    <xf numFmtId="3" fontId="8" fillId="0" borderId="49" xfId="0" applyNumberFormat="1" applyFont="1" applyBorder="1"/>
    <xf numFmtId="3" fontId="8" fillId="0" borderId="39" xfId="0" applyNumberFormat="1" applyFont="1" applyBorder="1"/>
    <xf numFmtId="3" fontId="8" fillId="0" borderId="19" xfId="0" applyNumberFormat="1" applyFont="1" applyBorder="1"/>
    <xf numFmtId="3" fontId="8" fillId="0" borderId="47" xfId="0" applyNumberFormat="1" applyFont="1" applyBorder="1"/>
    <xf numFmtId="3" fontId="8" fillId="0" borderId="40" xfId="0" applyNumberFormat="1" applyFont="1" applyBorder="1"/>
    <xf numFmtId="0" fontId="8" fillId="2" borderId="0" xfId="0" applyFont="1" applyFill="1"/>
    <xf numFmtId="0" fontId="5" fillId="2" borderId="0" xfId="0" applyFont="1" applyFill="1"/>
    <xf numFmtId="0" fontId="9" fillId="0" borderId="0" xfId="0" applyFont="1"/>
    <xf numFmtId="0" fontId="10" fillId="0" borderId="0" xfId="0" applyFont="1"/>
    <xf numFmtId="0" fontId="10" fillId="0" borderId="28" xfId="0" applyFont="1" applyBorder="1"/>
    <xf numFmtId="0" fontId="10" fillId="0" borderId="1" xfId="0" applyFont="1" applyBorder="1"/>
    <xf numFmtId="0" fontId="10" fillId="0" borderId="2" xfId="0" applyFont="1" applyBorder="1"/>
    <xf numFmtId="0" fontId="11" fillId="6" borderId="18" xfId="0" applyFont="1" applyFill="1" applyBorder="1" applyAlignment="1">
      <alignment horizontal="center"/>
    </xf>
    <xf numFmtId="0" fontId="10" fillId="6" borderId="19" xfId="0" applyFont="1" applyFill="1" applyBorder="1"/>
    <xf numFmtId="0" fontId="11" fillId="6" borderId="5" xfId="0" applyFont="1" applyFill="1" applyBorder="1"/>
    <xf numFmtId="0" fontId="11" fillId="6" borderId="6" xfId="0" applyFont="1" applyFill="1" applyBorder="1" applyAlignment="1">
      <alignment horizontal="center"/>
    </xf>
    <xf numFmtId="0" fontId="11" fillId="6" borderId="20" xfId="0" applyFont="1" applyFill="1" applyBorder="1"/>
    <xf numFmtId="0" fontId="11" fillId="5" borderId="17" xfId="0" applyFont="1" applyFill="1" applyBorder="1"/>
    <xf numFmtId="0" fontId="12" fillId="5" borderId="13" xfId="0" applyFont="1" applyFill="1" applyBorder="1" applyAlignment="1">
      <alignment horizontal="center"/>
    </xf>
    <xf numFmtId="0" fontId="12" fillId="0" borderId="14" xfId="0" applyFont="1" applyBorder="1"/>
    <xf numFmtId="0" fontId="5" fillId="0" borderId="18" xfId="0" applyFont="1" applyBorder="1"/>
    <xf numFmtId="0" fontId="11" fillId="0" borderId="21" xfId="0" applyFont="1" applyBorder="1"/>
    <xf numFmtId="0" fontId="12" fillId="0" borderId="8" xfId="0" applyFont="1" applyBorder="1" applyAlignment="1">
      <alignment horizontal="right"/>
    </xf>
    <xf numFmtId="2" fontId="12" fillId="5" borderId="9" xfId="0" applyNumberFormat="1" applyFont="1" applyFill="1" applyBorder="1" applyAlignment="1">
      <alignment horizontal="right"/>
    </xf>
    <xf numFmtId="2" fontId="12" fillId="5" borderId="9" xfId="0" applyNumberFormat="1" applyFont="1" applyFill="1" applyBorder="1"/>
    <xf numFmtId="0" fontId="10" fillId="0" borderId="20" xfId="0" applyFont="1" applyBorder="1"/>
    <xf numFmtId="0" fontId="10" fillId="0" borderId="22" xfId="0" applyFont="1" applyBorder="1"/>
    <xf numFmtId="0" fontId="12" fillId="0" borderId="5" xfId="0" applyFont="1" applyBorder="1" applyAlignment="1">
      <alignment horizontal="right"/>
    </xf>
    <xf numFmtId="2" fontId="12" fillId="5" borderId="6" xfId="0" applyNumberFormat="1" applyFont="1" applyFill="1" applyBorder="1" applyAlignment="1">
      <alignment horizontal="right"/>
    </xf>
    <xf numFmtId="2" fontId="12" fillId="5" borderId="6" xfId="0" applyNumberFormat="1" applyFont="1" applyFill="1" applyBorder="1"/>
    <xf numFmtId="0" fontId="10" fillId="0" borderId="23" xfId="0" applyFont="1" applyBorder="1"/>
    <xf numFmtId="0" fontId="11" fillId="0" borderId="8" xfId="0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11" fillId="0" borderId="9" xfId="0" applyNumberFormat="1" applyFont="1" applyBorder="1"/>
    <xf numFmtId="0" fontId="10" fillId="0" borderId="21" xfId="0" applyFont="1" applyBorder="1"/>
    <xf numFmtId="0" fontId="10" fillId="0" borderId="27" xfId="0" applyFont="1" applyBorder="1"/>
    <xf numFmtId="0" fontId="11" fillId="0" borderId="15" xfId="0" applyFont="1" applyBorder="1" applyAlignment="1">
      <alignment horizontal="right"/>
    </xf>
    <xf numFmtId="2" fontId="11" fillId="0" borderId="16" xfId="0" applyNumberFormat="1" applyFont="1" applyBorder="1" applyAlignment="1">
      <alignment horizontal="right"/>
    </xf>
    <xf numFmtId="2" fontId="11" fillId="0" borderId="16" xfId="0" applyNumberFormat="1" applyFont="1" applyBorder="1"/>
    <xf numFmtId="0" fontId="11" fillId="6" borderId="17" xfId="0" applyFont="1" applyFill="1" applyBorder="1"/>
    <xf numFmtId="0" fontId="11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right"/>
    </xf>
    <xf numFmtId="0" fontId="10" fillId="6" borderId="14" xfId="0" applyFont="1" applyFill="1" applyBorder="1"/>
    <xf numFmtId="0" fontId="11" fillId="6" borderId="22" xfId="0" applyFont="1" applyFill="1" applyBorder="1" applyAlignment="1">
      <alignment horizontal="center"/>
    </xf>
    <xf numFmtId="0" fontId="12" fillId="5" borderId="21" xfId="0" applyFont="1" applyFill="1" applyBorder="1"/>
    <xf numFmtId="0" fontId="12" fillId="5" borderId="8" xfId="0" applyFont="1" applyFill="1" applyBorder="1" applyAlignment="1">
      <alignment horizontal="center"/>
    </xf>
    <xf numFmtId="4" fontId="12" fillId="0" borderId="9" xfId="0" applyNumberFormat="1" applyFont="1" applyBorder="1" applyAlignment="1">
      <alignment horizontal="right"/>
    </xf>
    <xf numFmtId="4" fontId="12" fillId="0" borderId="9" xfId="0" applyNumberFormat="1" applyFont="1" applyBorder="1"/>
    <xf numFmtId="4" fontId="12" fillId="0" borderId="22" xfId="0" applyNumberFormat="1" applyFont="1" applyBorder="1"/>
    <xf numFmtId="0" fontId="12" fillId="5" borderId="22" xfId="0" applyFont="1" applyFill="1" applyBorder="1"/>
    <xf numFmtId="0" fontId="12" fillId="5" borderId="3" xfId="0" applyFont="1" applyFill="1" applyBorder="1" applyAlignment="1">
      <alignment horizontal="center"/>
    </xf>
    <xf numFmtId="4" fontId="12" fillId="0" borderId="4" xfId="0" applyNumberFormat="1" applyFont="1" applyBorder="1" applyAlignment="1">
      <alignment horizontal="right"/>
    </xf>
    <xf numFmtId="4" fontId="12" fillId="0" borderId="4" xfId="0" applyNumberFormat="1" applyFont="1" applyBorder="1"/>
    <xf numFmtId="0" fontId="12" fillId="5" borderId="27" xfId="0" applyFont="1" applyFill="1" applyBorder="1"/>
    <xf numFmtId="0" fontId="12" fillId="5" borderId="10" xfId="0" applyFont="1" applyFill="1" applyBorder="1" applyAlignment="1">
      <alignment horizontal="center"/>
    </xf>
    <xf numFmtId="4" fontId="12" fillId="0" borderId="11" xfId="0" applyNumberFormat="1" applyFont="1" applyBorder="1" applyAlignment="1">
      <alignment horizontal="right"/>
    </xf>
    <xf numFmtId="4" fontId="12" fillId="0" borderId="11" xfId="0" applyNumberFormat="1" applyFont="1" applyBorder="1"/>
    <xf numFmtId="0" fontId="11" fillId="0" borderId="28" xfId="0" applyFont="1" applyBorder="1"/>
    <xf numFmtId="0" fontId="9" fillId="0" borderId="1" xfId="0" applyFont="1" applyBorder="1" applyAlignment="1">
      <alignment horizontal="center"/>
    </xf>
    <xf numFmtId="4" fontId="11" fillId="0" borderId="2" xfId="0" applyNumberFormat="1" applyFont="1" applyBorder="1" applyAlignment="1">
      <alignment horizontal="right"/>
    </xf>
    <xf numFmtId="0" fontId="9" fillId="0" borderId="1" xfId="0" applyFont="1" applyBorder="1"/>
    <xf numFmtId="4" fontId="11" fillId="0" borderId="2" xfId="0" applyNumberFormat="1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" fontId="11" fillId="0" borderId="22" xfId="0" applyNumberFormat="1" applyFont="1" applyBorder="1"/>
    <xf numFmtId="0" fontId="11" fillId="0" borderId="27" xfId="0" applyFont="1" applyBorder="1"/>
    <xf numFmtId="0" fontId="11" fillId="0" borderId="10" xfId="0" applyFont="1" applyBorder="1" applyAlignment="1">
      <alignment horizontal="center"/>
    </xf>
    <xf numFmtId="4" fontId="11" fillId="0" borderId="11" xfId="0" applyNumberFormat="1" applyFont="1" applyBorder="1" applyAlignment="1">
      <alignment horizontal="right"/>
    </xf>
    <xf numFmtId="4" fontId="11" fillId="0" borderId="11" xfId="0" applyNumberFormat="1" applyFont="1" applyBorder="1"/>
    <xf numFmtId="4" fontId="11" fillId="0" borderId="27" xfId="0" applyNumberFormat="1" applyFont="1" applyBorder="1"/>
    <xf numFmtId="0" fontId="11" fillId="0" borderId="19" xfId="0" applyFont="1" applyBorder="1"/>
    <xf numFmtId="0" fontId="11" fillId="0" borderId="5" xfId="0" applyFont="1" applyBorder="1" applyAlignment="1">
      <alignment horizontal="center"/>
    </xf>
    <xf numFmtId="4" fontId="11" fillId="0" borderId="6" xfId="0" applyNumberFormat="1" applyFont="1" applyBorder="1" applyAlignment="1">
      <alignment horizontal="right"/>
    </xf>
    <xf numFmtId="4" fontId="11" fillId="0" borderId="6" xfId="0" applyNumberFormat="1" applyFont="1" applyBorder="1"/>
    <xf numFmtId="4" fontId="11" fillId="0" borderId="19" xfId="0" applyNumberFormat="1" applyFont="1" applyBorder="1"/>
    <xf numFmtId="0" fontId="11" fillId="0" borderId="0" xfId="0" applyFont="1"/>
    <xf numFmtId="0" fontId="12" fillId="6" borderId="13" xfId="0" applyFont="1" applyFill="1" applyBorder="1"/>
    <xf numFmtId="0" fontId="11" fillId="6" borderId="41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6" borderId="8" xfId="0" applyFont="1" applyFill="1" applyBorder="1"/>
    <xf numFmtId="3" fontId="12" fillId="0" borderId="26" xfId="0" applyNumberFormat="1" applyFont="1" applyBorder="1"/>
    <xf numFmtId="3" fontId="12" fillId="0" borderId="9" xfId="0" applyNumberFormat="1" applyFont="1" applyBorder="1"/>
    <xf numFmtId="2" fontId="12" fillId="0" borderId="0" xfId="0" applyNumberFormat="1" applyFont="1"/>
    <xf numFmtId="0" fontId="12" fillId="6" borderId="3" xfId="0" applyFont="1" applyFill="1" applyBorder="1"/>
    <xf numFmtId="3" fontId="12" fillId="0" borderId="24" xfId="0" applyNumberFormat="1" applyFont="1" applyBorder="1"/>
    <xf numFmtId="3" fontId="12" fillId="0" borderId="4" xfId="0" applyNumberFormat="1" applyFont="1" applyBorder="1"/>
    <xf numFmtId="3" fontId="12" fillId="0" borderId="29" xfId="0" applyNumberFormat="1" applyFont="1" applyBorder="1"/>
    <xf numFmtId="0" fontId="12" fillId="2" borderId="7" xfId="0" applyFont="1" applyFill="1" applyBorder="1" applyAlignment="1">
      <alignment wrapText="1"/>
    </xf>
    <xf numFmtId="3" fontId="12" fillId="2" borderId="17" xfId="0" applyNumberFormat="1" applyFont="1" applyFill="1" applyBorder="1" applyAlignment="1">
      <alignment vertical="center"/>
    </xf>
    <xf numFmtId="3" fontId="12" fillId="0" borderId="39" xfId="0" applyNumberFormat="1" applyFont="1" applyBorder="1" applyAlignment="1">
      <alignment vertical="center"/>
    </xf>
    <xf numFmtId="0" fontId="12" fillId="6" borderId="3" xfId="0" applyFont="1" applyFill="1" applyBorder="1" applyAlignment="1">
      <alignment wrapText="1"/>
    </xf>
    <xf numFmtId="3" fontId="12" fillId="0" borderId="26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2" fontId="10" fillId="0" borderId="0" xfId="0" applyNumberFormat="1" applyFont="1"/>
    <xf numFmtId="0" fontId="12" fillId="6" borderId="5" xfId="0" applyFont="1" applyFill="1" applyBorder="1" applyAlignment="1">
      <alignment wrapText="1"/>
    </xf>
    <xf numFmtId="3" fontId="12" fillId="0" borderId="25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0" fontId="12" fillId="0" borderId="0" xfId="0" applyFont="1"/>
    <xf numFmtId="0" fontId="10" fillId="0" borderId="0" xfId="0" applyFont="1" applyAlignment="1">
      <alignment horizontal="center"/>
    </xf>
    <xf numFmtId="0" fontId="12" fillId="2" borderId="0" xfId="0" applyFont="1" applyFill="1"/>
    <xf numFmtId="0" fontId="15" fillId="0" borderId="55" xfId="1" applyFont="1" applyBorder="1"/>
    <xf numFmtId="0" fontId="17" fillId="0" borderId="55" xfId="0" applyFont="1" applyBorder="1" applyAlignment="1">
      <alignment vertical="center"/>
    </xf>
    <xf numFmtId="0" fontId="18" fillId="0" borderId="55" xfId="0" applyFont="1" applyBorder="1" applyAlignment="1">
      <alignment horizontal="right"/>
    </xf>
    <xf numFmtId="0" fontId="19" fillId="0" borderId="55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9" borderId="56" xfId="0" applyFont="1" applyFill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21" fillId="0" borderId="57" xfId="2" applyFont="1" applyBorder="1" applyAlignment="1">
      <alignment vertical="center"/>
    </xf>
    <xf numFmtId="3" fontId="22" fillId="0" borderId="58" xfId="0" applyNumberFormat="1" applyFont="1" applyBorder="1" applyAlignment="1">
      <alignment horizontal="center" vertical="center" wrapText="1"/>
    </xf>
    <xf numFmtId="164" fontId="20" fillId="0" borderId="58" xfId="3" applyFont="1" applyAlignment="1">
      <alignment horizontal="center" vertical="center"/>
    </xf>
    <xf numFmtId="164" fontId="22" fillId="9" borderId="59" xfId="0" applyNumberFormat="1" applyFont="1" applyFill="1" applyBorder="1" applyAlignment="1">
      <alignment horizontal="right" vertical="center" wrapText="1" indent="1"/>
    </xf>
    <xf numFmtId="14" fontId="22" fillId="0" borderId="54" xfId="0" applyNumberFormat="1" applyFont="1" applyBorder="1" applyAlignment="1">
      <alignment horizontal="left" vertical="center" indent="1"/>
    </xf>
    <xf numFmtId="3" fontId="22" fillId="0" borderId="60" xfId="0" applyNumberFormat="1" applyFont="1" applyBorder="1" applyAlignment="1">
      <alignment horizontal="right" wrapText="1" indent="1"/>
    </xf>
    <xf numFmtId="165" fontId="22" fillId="0" borderId="60" xfId="0" applyNumberFormat="1" applyFont="1" applyBorder="1" applyAlignment="1">
      <alignment horizontal="center" wrapText="1"/>
    </xf>
    <xf numFmtId="165" fontId="24" fillId="9" borderId="59" xfId="0" applyNumberFormat="1" applyFont="1" applyFill="1" applyBorder="1" applyAlignment="1">
      <alignment horizontal="right" wrapText="1" indent="1"/>
    </xf>
    <xf numFmtId="3" fontId="24" fillId="0" borderId="58" xfId="0" applyNumberFormat="1" applyFont="1" applyBorder="1" applyAlignment="1">
      <alignment horizontal="center" wrapText="1"/>
    </xf>
    <xf numFmtId="14" fontId="24" fillId="0" borderId="0" xfId="0" applyNumberFormat="1" applyFont="1" applyAlignment="1">
      <alignment horizontal="left" vertical="center" indent="1"/>
    </xf>
    <xf numFmtId="3" fontId="24" fillId="0" borderId="0" xfId="0" applyNumberFormat="1" applyFont="1" applyAlignment="1">
      <alignment horizontal="right" wrapText="1" indent="1"/>
    </xf>
    <xf numFmtId="165" fontId="24" fillId="0" borderId="0" xfId="0" applyNumberFormat="1" applyFont="1" applyAlignment="1">
      <alignment horizontal="right" wrapText="1" indent="1"/>
    </xf>
    <xf numFmtId="165" fontId="24" fillId="9" borderId="61" xfId="0" applyNumberFormat="1" applyFont="1" applyFill="1" applyBorder="1" applyAlignment="1">
      <alignment horizontal="right" wrapText="1" indent="1"/>
    </xf>
    <xf numFmtId="166" fontId="25" fillId="0" borderId="62" xfId="2" applyNumberFormat="1" applyFont="1" applyBorder="1" applyAlignment="1">
      <alignment horizontal="left" vertical="center" wrapText="1"/>
    </xf>
    <xf numFmtId="3" fontId="24" fillId="0" borderId="63" xfId="0" applyNumberFormat="1" applyFont="1" applyBorder="1" applyAlignment="1">
      <alignment horizontal="right" vertical="center"/>
    </xf>
    <xf numFmtId="166" fontId="24" fillId="9" borderId="59" xfId="0" applyNumberFormat="1" applyFont="1" applyFill="1" applyBorder="1" applyAlignment="1">
      <alignment horizontal="right"/>
    </xf>
    <xf numFmtId="0" fontId="26" fillId="0" borderId="63" xfId="0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0" fontId="19" fillId="9" borderId="61" xfId="0" applyFont="1" applyFill="1" applyBorder="1" applyAlignment="1">
      <alignment vertical="center"/>
    </xf>
    <xf numFmtId="0" fontId="25" fillId="0" borderId="54" xfId="2" applyFont="1" applyAlignment="1">
      <alignment vertical="center"/>
    </xf>
    <xf numFmtId="3" fontId="19" fillId="0" borderId="54" xfId="0" applyNumberFormat="1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166" fontId="27" fillId="0" borderId="0" xfId="0" applyNumberFormat="1" applyFont="1" applyAlignment="1">
      <alignment horizontal="left" vertical="center" indent="1"/>
    </xf>
    <xf numFmtId="3" fontId="19" fillId="0" borderId="0" xfId="0" applyNumberFormat="1" applyFont="1" applyAlignment="1">
      <alignment horizontal="right" vertical="center"/>
    </xf>
    <xf numFmtId="166" fontId="19" fillId="9" borderId="61" xfId="0" applyNumberFormat="1" applyFont="1" applyFill="1" applyBorder="1" applyAlignment="1">
      <alignment vertical="center"/>
    </xf>
    <xf numFmtId="0" fontId="19" fillId="9" borderId="64" xfId="0" applyFont="1" applyFill="1" applyBorder="1" applyAlignment="1">
      <alignment vertical="center"/>
    </xf>
    <xf numFmtId="0" fontId="19" fillId="9" borderId="65" xfId="0" applyFont="1" applyFill="1" applyBorder="1" applyAlignment="1">
      <alignment vertical="center"/>
    </xf>
    <xf numFmtId="166" fontId="25" fillId="10" borderId="62" xfId="2" applyNumberFormat="1" applyFont="1" applyFill="1" applyBorder="1" applyAlignment="1">
      <alignment horizontal="left" vertical="center"/>
    </xf>
    <xf numFmtId="0" fontId="19" fillId="9" borderId="0" xfId="0" applyFont="1" applyFill="1" applyAlignment="1">
      <alignment vertical="center"/>
    </xf>
    <xf numFmtId="3" fontId="24" fillId="10" borderId="63" xfId="4" applyNumberFormat="1" applyFont="1">
      <alignment vertical="center"/>
    </xf>
    <xf numFmtId="166" fontId="24" fillId="9" borderId="66" xfId="0" applyNumberFormat="1" applyFont="1" applyFill="1" applyBorder="1" applyAlignment="1">
      <alignment vertical="center"/>
    </xf>
    <xf numFmtId="0" fontId="19" fillId="0" borderId="63" xfId="0" applyFont="1" applyBorder="1" applyAlignment="1">
      <alignment vertical="center"/>
    </xf>
    <xf numFmtId="0" fontId="25" fillId="0" borderId="54" xfId="2" applyFont="1" applyAlignment="1">
      <alignment horizontal="left"/>
    </xf>
    <xf numFmtId="0" fontId="27" fillId="0" borderId="0" xfId="0" applyFont="1" applyAlignment="1">
      <alignment horizontal="left" vertical="center" indent="1"/>
    </xf>
    <xf numFmtId="3" fontId="19" fillId="0" borderId="61" xfId="0" applyNumberFormat="1" applyFont="1" applyBorder="1" applyAlignment="1">
      <alignment vertical="center"/>
    </xf>
    <xf numFmtId="3" fontId="19" fillId="9" borderId="61" xfId="0" applyNumberFormat="1" applyFont="1" applyFill="1" applyBorder="1" applyAlignment="1">
      <alignment vertical="center"/>
    </xf>
    <xf numFmtId="0" fontId="19" fillId="0" borderId="0" xfId="0" applyFont="1" applyAlignment="1">
      <alignment horizontal="left" vertical="center" indent="1"/>
    </xf>
    <xf numFmtId="167" fontId="24" fillId="10" borderId="63" xfId="4" applyNumberFormat="1" applyFont="1">
      <alignment vertical="center"/>
    </xf>
    <xf numFmtId="0" fontId="26" fillId="0" borderId="62" xfId="0" applyFont="1" applyBorder="1"/>
    <xf numFmtId="0" fontId="27" fillId="0" borderId="0" xfId="0" applyFont="1" applyAlignment="1">
      <alignment horizontal="left" vertical="center" wrapText="1" indent="1"/>
    </xf>
    <xf numFmtId="3" fontId="19" fillId="0" borderId="0" xfId="0" applyNumberFormat="1" applyFont="1" applyFill="1" applyAlignment="1">
      <alignment horizontal="right" vertical="center"/>
    </xf>
    <xf numFmtId="3" fontId="19" fillId="0" borderId="61" xfId="0" applyNumberFormat="1" applyFont="1" applyFill="1" applyBorder="1" applyAlignment="1">
      <alignment vertical="center"/>
    </xf>
    <xf numFmtId="166" fontId="25" fillId="10" borderId="62" xfId="2" applyNumberFormat="1" applyFont="1" applyFill="1" applyBorder="1" applyAlignment="1">
      <alignment horizontal="left" vertical="center" wrapText="1"/>
    </xf>
    <xf numFmtId="164" fontId="20" fillId="0" borderId="58" xfId="3" applyNumberFormat="1" applyFont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wrapText="1"/>
    </xf>
    <xf numFmtId="0" fontId="5" fillId="8" borderId="42" xfId="0" applyFont="1" applyFill="1" applyBorder="1" applyAlignment="1">
      <alignment horizontal="center" wrapText="1"/>
    </xf>
    <xf numFmtId="0" fontId="5" fillId="8" borderId="43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5">
    <cellStyle name="Month" xfId="3" xr:uid="{967DBE64-6913-410B-B134-3090A8B34102}"/>
    <cellStyle name="Normaali" xfId="0" builtinId="0"/>
    <cellStyle name="Otsikko" xfId="1" builtinId="15"/>
    <cellStyle name="Otsikko 1" xfId="2" builtinId="16"/>
    <cellStyle name="Totals" xfId="4" xr:uid="{18EC2EC5-70EC-4174-908C-C357729204F7}"/>
  </cellStyles>
  <dxfs count="2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166" formatCode="0_);\-0_)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166" formatCode="0_);\-0_)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166" formatCode="0_);\-0_)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166" formatCode="0_);\-0_)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166" formatCode="0_);\-0_)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166" formatCode="0_);\-0_)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166" formatCode="0_);\-0_)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166" formatCode="0_);\-0_)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166" formatCode="0_);\-0_)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2" defaultPivotStyle="PivotStyleLight16">
    <tableStyle name="Cash Receipts" pivot="0" count="7" xr9:uid="{77721C54-B67C-4DB4-BA81-56A0839B82D4}">
      <tableStyleElement type="wholeTable" dxfId="261"/>
      <tableStyleElement type="headerRow" dxfId="260"/>
      <tableStyleElement type="totalRow" dxfId="259"/>
      <tableStyleElement type="firstColumn" dxfId="258"/>
      <tableStyleElement type="lastColumn" dxfId="257"/>
      <tableStyleElement type="firstTotalCell" dxfId="256"/>
      <tableStyleElement type="lastTotalCell" dxfId="25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CE0B6B.C676220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CE0B6B.C6762200" TargetMode="Externa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CE0B6B.C67622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1009650</xdr:colOff>
      <xdr:row>2</xdr:row>
      <xdr:rowOff>65025</xdr:rowOff>
    </xdr:to>
    <xdr:pic>
      <xdr:nvPicPr>
        <xdr:cNvPr id="3" name="Kuva 2" descr="YritysEspoo_logo_paikkakunnilla_RGB 50 mm">
          <a:extLst>
            <a:ext uri="{FF2B5EF4-FFF2-40B4-BE49-F238E27FC236}">
              <a16:creationId xmlns:a16="http://schemas.microsoft.com/office/drawing/2014/main" id="{0F01C36B-1377-49DD-938F-DF1533977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44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891660</xdr:colOff>
      <xdr:row>2</xdr:row>
      <xdr:rowOff>104775</xdr:rowOff>
    </xdr:to>
    <xdr:pic>
      <xdr:nvPicPr>
        <xdr:cNvPr id="2" name="Kuva 1" descr="YritysEspoo_logo_paikkakunnilla_RGB 50 mm">
          <a:extLst>
            <a:ext uri="{FF2B5EF4-FFF2-40B4-BE49-F238E27FC236}">
              <a16:creationId xmlns:a16="http://schemas.microsoft.com/office/drawing/2014/main" id="{2313A15E-8E5F-432E-B6FF-44811645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0"/>
          <a:ext cx="158698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0</xdr:row>
      <xdr:rowOff>1</xdr:rowOff>
    </xdr:from>
    <xdr:to>
      <xdr:col>3</xdr:col>
      <xdr:colOff>1057275</xdr:colOff>
      <xdr:row>1</xdr:row>
      <xdr:rowOff>191586</xdr:rowOff>
    </xdr:to>
    <xdr:pic>
      <xdr:nvPicPr>
        <xdr:cNvPr id="3" name="Kuva 2" descr="YritysEspoo_logo_paikkakunnilla_RGB 50 mm">
          <a:extLst>
            <a:ext uri="{FF2B5EF4-FFF2-40B4-BE49-F238E27FC236}">
              <a16:creationId xmlns:a16="http://schemas.microsoft.com/office/drawing/2014/main" id="{BEB9558C-8BFA-4A16-A054-9F943F0B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1" y="1"/>
          <a:ext cx="1885949" cy="420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6C30318-F3B6-4F44-9495-41681060BD75}" name="CashReceipts" displayName="CashReceipts" ref="A9:R12" headerRowCount="0" totalsRowCount="1" headerRowDxfId="251" dataDxfId="250" totalsRowDxfId="249">
  <tableColumns count="18">
    <tableColumn id="1" xr3:uid="{CB64767E-AAFA-46F8-8252-E6ABCA52034B}" name="Items" totalsRowLabel="Total inflows" headerRowDxfId="248" dataDxfId="247" totalsRowDxfId="246"/>
    <tableColumn id="17" xr3:uid="{C2041BBE-E5B6-499F-AB7B-59C75A0B94B6}" name="Column2" headerRowDxfId="245" dataDxfId="244" totalsRowDxfId="243"/>
    <tableColumn id="2" xr3:uid="{9BD93129-D191-4E82-8205-66EB24492CCE}" name="Period 0" totalsRowFunction="sum" dataDxfId="242" totalsRowDxfId="241"/>
    <tableColumn id="3" xr3:uid="{D01B8554-ECAD-4B53-B505-302EE9D28E45}" name="Period 1" totalsRowFunction="sum" dataDxfId="240" totalsRowDxfId="239"/>
    <tableColumn id="4" xr3:uid="{F62C6761-2B6C-4F50-BE17-B42764F42756}" name="Period 2" totalsRowFunction="sum" dataDxfId="238" totalsRowDxfId="237"/>
    <tableColumn id="5" xr3:uid="{ABAB04EA-D875-4195-96C2-8FA60D44F487}" name="Period 3" totalsRowFunction="sum" dataDxfId="236" totalsRowDxfId="235"/>
    <tableColumn id="6" xr3:uid="{59B98CF8-D708-4C11-B99E-88E829598951}" name="Period 4" totalsRowFunction="sum" dataDxfId="234" totalsRowDxfId="233"/>
    <tableColumn id="7" xr3:uid="{3919A1E3-5A75-4DBA-8C29-74CFF9E2B87E}" name="Period 5" totalsRowFunction="sum" dataDxfId="232" totalsRowDxfId="231"/>
    <tableColumn id="8" xr3:uid="{4950F8F8-2083-4644-B7B2-9CC3420009F5}" name="Period 6" totalsRowFunction="sum" dataDxfId="230" totalsRowDxfId="229"/>
    <tableColumn id="9" xr3:uid="{A073D818-E987-484E-B89B-BC4FFFBE8F16}" name="Period 7" totalsRowFunction="sum" dataDxfId="228" totalsRowDxfId="227"/>
    <tableColumn id="10" xr3:uid="{531859C5-27A5-4113-BC52-817748A12AA5}" name="Period 8" totalsRowFunction="sum" dataDxfId="226" totalsRowDxfId="225"/>
    <tableColumn id="11" xr3:uid="{84E7FFB6-E9A0-43C9-B5A1-31C54A6EFCDF}" name="Period 9" totalsRowFunction="sum" dataDxfId="224" totalsRowDxfId="223"/>
    <tableColumn id="12" xr3:uid="{61D88531-500C-4F8A-B51C-D7F028BF733E}" name="Period 10" totalsRowFunction="sum" dataDxfId="222" totalsRowDxfId="221"/>
    <tableColumn id="13" xr3:uid="{729B4FCA-4754-4772-A00A-D0029A8CD890}" name="Period 11" totalsRowFunction="sum" dataDxfId="220" totalsRowDxfId="219"/>
    <tableColumn id="14" xr3:uid="{A7DFFF2C-9CF7-428B-9419-3CFECC2E3D02}" name="Period 12" totalsRowFunction="sum" dataDxfId="218" totalsRowDxfId="217"/>
    <tableColumn id="18" xr3:uid="{BEC382B2-218F-4D06-98B3-8574DF8DF4D1}" name="Column3" dataDxfId="216" totalsRowDxfId="215"/>
    <tableColumn id="15" xr3:uid="{B117D657-E270-4C1D-A684-6974DF772F1D}" name="Total" totalsRowFunction="sum" dataDxfId="214" totalsRowDxfId="213">
      <calculatedColumnFormula>SUM(CashReceipts[[#This Row],[Period 0]:[Period 12]])</calculatedColumnFormula>
    </tableColumn>
    <tableColumn id="16" xr3:uid="{53C82B5B-6CC5-4E48-88B6-87EDA2D23C5A}" name="Column1" dataDxfId="212" totalsRowDxfId="211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Kassakuitit" altTextSummary="12 kuukauden kassakuitit alkaen tilikauden ensimmäisestä kuukaudesta. Sisältää lasketun kokonaissumma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910014F-6588-491E-99C6-C10FF06E69B8}" name="CashPaidOut" displayName="CashPaidOut" ref="A16:R41" headerRowCount="0" totalsRowCount="1" headerRowDxfId="210" dataDxfId="209" totalsRowDxfId="208">
  <tableColumns count="18">
    <tableColumn id="1" xr3:uid="{D0FC05CE-9FE8-401D-90A0-F73C747E8184}" name="Items" totalsRowLabel="Total outflows" headerRowDxfId="207" dataDxfId="206" totalsRowDxfId="205"/>
    <tableColumn id="17" xr3:uid="{6A596360-66DD-42D0-9FA1-BAA6550593B9}" name="Column2" headerRowDxfId="204" dataDxfId="203" totalsRowDxfId="202"/>
    <tableColumn id="2" xr3:uid="{C91B51F4-935F-49D8-AE48-FF7FB8F850B7}" name="Period 0" totalsRowFunction="sum" dataDxfId="201" totalsRowDxfId="200"/>
    <tableColumn id="3" xr3:uid="{4268F911-AFCA-4161-A33F-1CBA2AAE22C3}" name="Period 1" totalsRowFunction="sum" dataDxfId="199" totalsRowDxfId="198"/>
    <tableColumn id="4" xr3:uid="{73F79BFC-8370-4D1D-8F39-918CE2C186B4}" name="Period 2" totalsRowFunction="sum" dataDxfId="197" totalsRowDxfId="196"/>
    <tableColumn id="5" xr3:uid="{B0365DD2-9988-46ED-B58B-F46B712E3274}" name="Period 3" totalsRowFunction="sum" dataDxfId="195" totalsRowDxfId="194"/>
    <tableColumn id="6" xr3:uid="{E4790146-DB57-4EE8-AFEE-0780B3172021}" name="Period 4" totalsRowFunction="sum" dataDxfId="193" totalsRowDxfId="192"/>
    <tableColumn id="7" xr3:uid="{12ABC545-E8CD-4E6B-B80B-FF96E07CC1C7}" name="Period 5" totalsRowFunction="sum" dataDxfId="191" totalsRowDxfId="190"/>
    <tableColumn id="8" xr3:uid="{99AA0799-08E1-4322-A14F-55CEFA036C72}" name="Period 6" totalsRowFunction="sum" dataDxfId="189" totalsRowDxfId="188"/>
    <tableColumn id="9" xr3:uid="{0A129D1C-01AF-4DE7-9059-3E132D6BE08A}" name="Period 7" totalsRowFunction="sum" dataDxfId="187" totalsRowDxfId="186"/>
    <tableColumn id="10" xr3:uid="{488C35E5-6371-4849-839D-0E9020634A7F}" name="Period 8" totalsRowFunction="sum" dataDxfId="185" totalsRowDxfId="184"/>
    <tableColumn id="11" xr3:uid="{8A0842BF-F2CB-47F5-AA2A-2146423150FB}" name="Period 9" totalsRowFunction="sum" dataDxfId="183" totalsRowDxfId="182"/>
    <tableColumn id="12" xr3:uid="{43159829-D3FB-48EB-AFFF-BD536099B2C6}" name="Period 10" totalsRowFunction="sum" dataDxfId="181" totalsRowDxfId="180"/>
    <tableColumn id="13" xr3:uid="{5B78E888-977B-4245-A1AA-1186F7E19189}" name="Period 11" totalsRowFunction="sum" dataDxfId="179" totalsRowDxfId="178"/>
    <tableColumn id="14" xr3:uid="{BAD1ADE6-4714-4576-9831-D8284ED11FCF}" name="Period 12" totalsRowFunction="sum" dataDxfId="177" totalsRowDxfId="176"/>
    <tableColumn id="18" xr3:uid="{291A099B-7C57-45A7-924F-4250E4631A71}" name="Column3" dataDxfId="175" totalsRowDxfId="174"/>
    <tableColumn id="15" xr3:uid="{7237B34B-3E5C-4AAC-9181-D2FD4183FA2E}" name="Total" totalsRowFunction="sum" dataDxfId="173" totalsRowDxfId="172">
      <calculatedColumnFormula>SUM(CashPaidOut[[#This Row],[Period 0]:[Period 12]])</calculatedColumnFormula>
    </tableColumn>
    <tableColumn id="16" xr3:uid="{4C43B7D6-4111-4FAC-B171-4663E8C9617F}" name="Column1" dataDxfId="171" totalsRowDxfId="170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Kassastamaksu" altTextSummary="Kassastamaksut 12 kuukauden ajalta tilikauden ensimmäisestä kuukaudesta alkaen ja laskettu kokonaissumm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49870A-DD52-4D7E-B9A8-11ADD73E39D7}" name="CashReceipts2" displayName="CashReceipts2" ref="A9:R12" headerRowCount="0" totalsRowCount="1" headerRowDxfId="166" dataDxfId="165" totalsRowDxfId="164">
  <tableColumns count="18">
    <tableColumn id="1" xr3:uid="{9FA03A17-7423-4B39-BACB-551FF3778C51}" name="Items" totalsRowLabel="Total inflows" headerRowDxfId="163" dataDxfId="162" totalsRowDxfId="161"/>
    <tableColumn id="17" xr3:uid="{52B32697-95BF-4F2E-944B-4CB04396F099}" name="Column2" headerRowDxfId="160" dataDxfId="159" totalsRowDxfId="158"/>
    <tableColumn id="2" xr3:uid="{FA0B40A4-CAE0-42A8-8083-0EBDDA457C92}" name="Period 0" totalsRowFunction="sum" dataDxfId="157" totalsRowDxfId="156"/>
    <tableColumn id="3" xr3:uid="{BF60569D-27B5-4575-9A86-646F9574D8D7}" name="Period 1" totalsRowFunction="sum" dataDxfId="155" totalsRowDxfId="154"/>
    <tableColumn id="4" xr3:uid="{217AEC79-0CA0-45D3-83E4-E1B65BD8704C}" name="Period 2" totalsRowFunction="sum" dataDxfId="153" totalsRowDxfId="152"/>
    <tableColumn id="5" xr3:uid="{200B68DB-D691-47DE-91C7-0F72C4C69960}" name="Period 3" totalsRowFunction="sum" dataDxfId="151" totalsRowDxfId="150"/>
    <tableColumn id="6" xr3:uid="{EC71FB97-339F-4AE4-BE02-293B715A028A}" name="Period 4" totalsRowFunction="sum" dataDxfId="149" totalsRowDxfId="148"/>
    <tableColumn id="7" xr3:uid="{D501285C-789F-449C-BBC6-9E000D3C5CF6}" name="Period 5" totalsRowFunction="sum" dataDxfId="147" totalsRowDxfId="146"/>
    <tableColumn id="8" xr3:uid="{D3EA8DB1-D5E1-46A9-B174-B672F15A48B7}" name="Period 6" totalsRowFunction="sum" dataDxfId="145" totalsRowDxfId="144"/>
    <tableColumn id="9" xr3:uid="{D42B9835-16B3-42AC-A9A5-E00F8928D44A}" name="Period 7" totalsRowFunction="sum" dataDxfId="143" totalsRowDxfId="142"/>
    <tableColumn id="10" xr3:uid="{00B2F23F-846A-4B93-B153-426F88E5268F}" name="Period 8" totalsRowFunction="sum" dataDxfId="141" totalsRowDxfId="140"/>
    <tableColumn id="11" xr3:uid="{57D1AECB-9CED-448F-9FCC-22C0651C6A01}" name="Period 9" totalsRowFunction="sum" dataDxfId="139" totalsRowDxfId="138"/>
    <tableColumn id="12" xr3:uid="{BAA4BA4C-7DD0-4AF1-A36F-6A67334EE9E8}" name="Period 10" totalsRowFunction="sum" dataDxfId="137" totalsRowDxfId="136"/>
    <tableColumn id="13" xr3:uid="{7473CE42-3183-4E54-8A3F-868A16EA2F79}" name="Period 11" totalsRowFunction="sum" dataDxfId="135" totalsRowDxfId="134"/>
    <tableColumn id="14" xr3:uid="{256C7A8A-B38C-448F-A3A5-826417969D41}" name="Period 12" totalsRowFunction="sum" dataDxfId="133" totalsRowDxfId="132"/>
    <tableColumn id="18" xr3:uid="{E7FF1F5C-3C34-4C02-88FE-4B1DF9B75ECB}" name="Column3" dataDxfId="131" totalsRowDxfId="130"/>
    <tableColumn id="15" xr3:uid="{AE5CC09C-DA1C-40E3-BE25-F99F13C81351}" name="Total" totalsRowFunction="sum" dataDxfId="129" totalsRowDxfId="128">
      <calculatedColumnFormula>SUM(CashReceipts2[[#This Row],[Period 0]:[Period 12]])</calculatedColumnFormula>
    </tableColumn>
    <tableColumn id="16" xr3:uid="{855CF44F-E50E-4F1D-89AB-65C073E93D80}" name="Column1" dataDxfId="127" totalsRowDxfId="126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Kassakuitit" altTextSummary="12 kuukauden kassakuitit alkaen tilikauden ensimmäisestä kuukaudesta. Sisältää lasketun kokonaissumman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1BC354E-5DE6-4C06-B97D-4E27584BF613}" name="CashPaidOut3" displayName="CashPaidOut3" ref="A16:R41" headerRowCount="0" totalsRowCount="1" headerRowDxfId="125" dataDxfId="124" totalsRowDxfId="123">
  <tableColumns count="18">
    <tableColumn id="1" xr3:uid="{033067BA-651C-4415-9E9B-517A5A373709}" name="Items" totalsRowLabel="Total outflows" headerRowDxfId="122" dataDxfId="121" totalsRowDxfId="120"/>
    <tableColumn id="17" xr3:uid="{84AB670B-760F-4D00-85A7-79E5E9BBB255}" name="Column2" headerRowDxfId="119" dataDxfId="118" totalsRowDxfId="117"/>
    <tableColumn id="2" xr3:uid="{714CB0B8-FA1E-48E9-B726-5B7726909479}" name="Period 0" totalsRowFunction="sum" dataDxfId="116" totalsRowDxfId="115"/>
    <tableColumn id="3" xr3:uid="{02891FC4-4D2E-426A-AEA4-56264F7A2684}" name="Period 1" totalsRowFunction="sum" dataDxfId="114" totalsRowDxfId="113"/>
    <tableColumn id="4" xr3:uid="{092196E6-EEE3-4186-BDFD-7011D52F0050}" name="Period 2" totalsRowFunction="sum" dataDxfId="112" totalsRowDxfId="111"/>
    <tableColumn id="5" xr3:uid="{268FE881-0901-49AD-9499-A3CA4E77FFAE}" name="Period 3" totalsRowFunction="sum" dataDxfId="110" totalsRowDxfId="109"/>
    <tableColumn id="6" xr3:uid="{C2B91192-D207-43BD-9FF8-EA8CFC13F246}" name="Period 4" totalsRowFunction="sum" dataDxfId="108" totalsRowDxfId="107"/>
    <tableColumn id="7" xr3:uid="{8DA4ADF1-EBF8-4D58-8909-01974BA4435B}" name="Period 5" totalsRowFunction="sum" dataDxfId="106" totalsRowDxfId="105"/>
    <tableColumn id="8" xr3:uid="{B1737E32-948B-421D-849F-D1E79B15ABE5}" name="Period 6" totalsRowFunction="sum" dataDxfId="104" totalsRowDxfId="103"/>
    <tableColumn id="9" xr3:uid="{B1E86D05-87C7-4FC5-BECE-C4DB1CAFA89C}" name="Period 7" totalsRowFunction="sum" dataDxfId="102" totalsRowDxfId="101"/>
    <tableColumn id="10" xr3:uid="{96403978-6314-450F-AC84-02D66D2D3945}" name="Period 8" totalsRowFunction="sum" dataDxfId="100" totalsRowDxfId="99"/>
    <tableColumn id="11" xr3:uid="{4EF326A2-6C03-4461-9BC1-12F8EDA8EC78}" name="Period 9" totalsRowFunction="sum" dataDxfId="98" totalsRowDxfId="97"/>
    <tableColumn id="12" xr3:uid="{6E299F7D-3DF9-4744-B95A-AC44D50C42EA}" name="Period 10" totalsRowFunction="sum" dataDxfId="96" totalsRowDxfId="95"/>
    <tableColumn id="13" xr3:uid="{6A3A25A9-4D98-4B3E-A2F1-4805505A7703}" name="Period 11" totalsRowFunction="sum" dataDxfId="94" totalsRowDxfId="93"/>
    <tableColumn id="14" xr3:uid="{FA64BE54-4BAB-4ED9-A14B-5CDB3A5A44D4}" name="Period 12" totalsRowFunction="sum" dataDxfId="92" totalsRowDxfId="91"/>
    <tableColumn id="18" xr3:uid="{270032EB-D24C-4B22-B0E7-AA28675756ED}" name="Column3" dataDxfId="90" totalsRowDxfId="89"/>
    <tableColumn id="15" xr3:uid="{CB8F93DE-AFCB-4639-BAC9-01157F77396F}" name="Total" totalsRowFunction="sum" dataDxfId="88" totalsRowDxfId="87">
      <calculatedColumnFormula>SUM(CashPaidOut3[[#This Row],[Period 0]:[Period 12]])</calculatedColumnFormula>
    </tableColumn>
    <tableColumn id="16" xr3:uid="{382D948D-9AEE-4F4A-9E95-8A385657440A}" name="Column1" dataDxfId="86" totalsRowDxfId="85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Kassastamaksu" altTextSummary="Kassastamaksut 12 kuukauden ajalta tilikauden ensimmäisestä kuukaudesta alkaen ja laskettu kokonaissumma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6ED8448-3BDA-47A1-A481-7CC0C9981FCD}" name="CashReceipts24" displayName="CashReceipts24" ref="A9:R12" headerRowCount="0" totalsRowCount="1" headerRowDxfId="81" dataDxfId="80" totalsRowDxfId="79">
  <tableColumns count="18">
    <tableColumn id="1" xr3:uid="{CC3038DD-CCBD-4D1D-B1B6-3BDB6FF4768A}" name="Items" totalsRowLabel="Total inflows" headerRowDxfId="78" dataDxfId="77" totalsRowDxfId="76"/>
    <tableColumn id="17" xr3:uid="{AEE4FA25-A793-43B5-B46D-221398C22B57}" name="Column2" headerRowDxfId="75" dataDxfId="74" totalsRowDxfId="73"/>
    <tableColumn id="2" xr3:uid="{77414E3B-72D8-4B42-9BBD-FAB2E9DCB89A}" name="Period 0" totalsRowFunction="sum" dataDxfId="72" totalsRowDxfId="71"/>
    <tableColumn id="3" xr3:uid="{DE3CAC65-6807-4E09-96BB-6718A0655AC9}" name="Period 1" totalsRowFunction="sum" dataDxfId="70" totalsRowDxfId="69"/>
    <tableColumn id="4" xr3:uid="{B2B1D86D-ACB9-45E7-9B28-3518B4A27E5E}" name="Period 2" totalsRowFunction="sum" dataDxfId="68" totalsRowDxfId="67"/>
    <tableColumn id="5" xr3:uid="{F8E1DAF5-593C-45CF-B389-7CF22A31953F}" name="Period 3" totalsRowFunction="sum" dataDxfId="66" totalsRowDxfId="65"/>
    <tableColumn id="6" xr3:uid="{6E3D40DA-6DF4-424D-AAAA-07E01085ADD6}" name="Period 4" totalsRowFunction="sum" dataDxfId="64" totalsRowDxfId="63"/>
    <tableColumn id="7" xr3:uid="{4202EAD0-F141-4509-A85C-9B32C806BE7B}" name="Period 5" totalsRowFunction="sum" dataDxfId="62" totalsRowDxfId="61"/>
    <tableColumn id="8" xr3:uid="{BBB593BB-9161-46BB-8944-FC5F23A7E698}" name="Period 6" totalsRowFunction="sum" dataDxfId="60" totalsRowDxfId="59"/>
    <tableColumn id="9" xr3:uid="{115B6F14-4868-4E63-9F07-27AF210EBB4F}" name="Period 7" totalsRowFunction="sum" dataDxfId="58" totalsRowDxfId="57"/>
    <tableColumn id="10" xr3:uid="{CED7B23C-4DA3-4B1D-A3A7-45797D4F6E38}" name="Period 8" totalsRowFunction="sum" dataDxfId="56" totalsRowDxfId="55"/>
    <tableColumn id="11" xr3:uid="{A20F122D-13EA-4864-838C-CE8D9D92D0A2}" name="Period 9" totalsRowFunction="sum" dataDxfId="54" totalsRowDxfId="53"/>
    <tableColumn id="12" xr3:uid="{C6EB1766-5631-417B-90D3-237138E526ED}" name="Period 10" totalsRowFunction="sum" dataDxfId="52" totalsRowDxfId="51"/>
    <tableColumn id="13" xr3:uid="{86518F06-CFA8-42DB-AE1E-6CC65C537424}" name="Period 11" totalsRowFunction="sum" dataDxfId="50" totalsRowDxfId="49"/>
    <tableColumn id="14" xr3:uid="{75C8765C-0D50-4415-8651-6F7E874D4BD1}" name="Period 12" totalsRowFunction="sum" dataDxfId="48" totalsRowDxfId="47"/>
    <tableColumn id="18" xr3:uid="{3B92E0CC-9247-4EA0-8E5F-163F380B1849}" name="Column3" dataDxfId="46" totalsRowDxfId="45"/>
    <tableColumn id="15" xr3:uid="{4E89EE01-A174-4054-BA35-D9E5BDCF2240}" name="Total" totalsRowFunction="sum" dataDxfId="44" totalsRowDxfId="43">
      <calculatedColumnFormula>SUM(CashReceipts24[[#This Row],[Period 0]:[Period 12]])</calculatedColumnFormula>
    </tableColumn>
    <tableColumn id="16" xr3:uid="{44B50484-249E-4384-9917-0B0E1F46A03F}" name="Column1" dataDxfId="42" totalsRowDxfId="41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Kassakuitit" altTextSummary="12 kuukauden kassakuitit alkaen tilikauden ensimmäisestä kuukaudesta. Sisältää lasketun kokonaissumman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EB5617C-413A-4030-9EFD-A36F084C2FC2}" name="CashPaidOut35" displayName="CashPaidOut35" ref="A16:R41" headerRowCount="0" totalsRowCount="1" headerRowDxfId="40" dataDxfId="39" totalsRowDxfId="38">
  <tableColumns count="18">
    <tableColumn id="1" xr3:uid="{35EB7B2B-40D6-4E50-8C4D-3D34CD94A3C4}" name="Items" totalsRowLabel="Total outflows" headerRowDxfId="37" dataDxfId="36" totalsRowDxfId="35"/>
    <tableColumn id="17" xr3:uid="{810CB81B-A9B6-4113-A2C6-D7896E160809}" name="Column2" headerRowDxfId="34" dataDxfId="33" totalsRowDxfId="32"/>
    <tableColumn id="2" xr3:uid="{C3A697BC-E1E5-48F0-8C14-F5150E3D7EBF}" name="Period 0" totalsRowFunction="sum" dataDxfId="31" totalsRowDxfId="30"/>
    <tableColumn id="3" xr3:uid="{3AADF845-EABF-4AFA-A4B7-51775C67C309}" name="Period 1" totalsRowFunction="sum" dataDxfId="29" totalsRowDxfId="28"/>
    <tableColumn id="4" xr3:uid="{9AFFD4BD-C790-4AA2-8C00-291209CA27E8}" name="Period 2" totalsRowFunction="sum" dataDxfId="27" totalsRowDxfId="26"/>
    <tableColumn id="5" xr3:uid="{B5BB465C-5B6C-4595-A75F-9246EEA28CB1}" name="Period 3" totalsRowFunction="sum" dataDxfId="25" totalsRowDxfId="24"/>
    <tableColumn id="6" xr3:uid="{232DEF18-9E7A-4927-A109-F11A4D93FD25}" name="Period 4" totalsRowFunction="sum" dataDxfId="23" totalsRowDxfId="22"/>
    <tableColumn id="7" xr3:uid="{E20C8629-9969-41FF-8051-958266F5B819}" name="Period 5" totalsRowFunction="sum" dataDxfId="21" totalsRowDxfId="20"/>
    <tableColumn id="8" xr3:uid="{4586C62B-F8D7-4799-80B5-1C50259E9090}" name="Period 6" totalsRowFunction="sum" dataDxfId="19" totalsRowDxfId="18"/>
    <tableColumn id="9" xr3:uid="{B42BD02B-154E-4C09-8A35-E2B7DFF10A9C}" name="Period 7" totalsRowFunction="sum" dataDxfId="17" totalsRowDxfId="16"/>
    <tableColumn id="10" xr3:uid="{41FB6433-1078-47E4-B6BB-E3A6376E70C8}" name="Period 8" totalsRowFunction="sum" dataDxfId="15" totalsRowDxfId="14"/>
    <tableColumn id="11" xr3:uid="{2ABF5C33-9BFD-4570-959D-2432423ADC0B}" name="Period 9" totalsRowFunction="sum" dataDxfId="13" totalsRowDxfId="12"/>
    <tableColumn id="12" xr3:uid="{8B21FAA5-FA22-4293-9E2D-F2100839FCA5}" name="Period 10" totalsRowFunction="sum" dataDxfId="11" totalsRowDxfId="10"/>
    <tableColumn id="13" xr3:uid="{69CFA70E-CB4B-4A90-A2F5-4A89A0F84B64}" name="Period 11" totalsRowFunction="sum" dataDxfId="9" totalsRowDxfId="8"/>
    <tableColumn id="14" xr3:uid="{0C408753-223B-4765-B94D-385128804B75}" name="Period 12" totalsRowFunction="sum" dataDxfId="7" totalsRowDxfId="6"/>
    <tableColumn id="18" xr3:uid="{7F416137-0658-4E2C-98D1-10DC156AE263}" name="Column3" dataDxfId="5" totalsRowDxfId="4"/>
    <tableColumn id="15" xr3:uid="{6BDA227A-CA51-4C00-8782-5070EAB206D4}" name="Total" totalsRowFunction="sum" dataDxfId="3" totalsRowDxfId="2">
      <calculatedColumnFormula>SUM(CashPaidOut35[[#This Row],[Period 0]:[Period 12]])</calculatedColumnFormula>
    </tableColumn>
    <tableColumn id="16" xr3:uid="{C0493BDB-B5DF-4D52-83D5-7CEBDCD1EB2B}" name="Column1" dataDxfId="1" totalsRowDxfId="0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Kassastamaksu" altTextSummary="Kassastamaksut 12 kuukauden ajalta tilikauden ensimmäisestä kuukaudesta alkaen ja laskettu kokonaissumma."/>
    </ext>
  </extLst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89BD1-B630-4E78-910D-8A1F1544BF8A}">
  <dimension ref="A1:R97"/>
  <sheetViews>
    <sheetView showGridLines="0" topLeftCell="A10" zoomScaleNormal="100" workbookViewId="0">
      <selection activeCell="P37" sqref="P37"/>
    </sheetView>
  </sheetViews>
  <sheetFormatPr baseColWidth="10" defaultColWidth="8.83203125" defaultRowHeight="15" x14ac:dyDescent="0.2"/>
  <cols>
    <col min="3" max="3" width="16.33203125" customWidth="1"/>
    <col min="4" max="4" width="46.6640625" customWidth="1"/>
    <col min="6" max="6" width="1.1640625" customWidth="1"/>
    <col min="16" max="18" width="9.5" customWidth="1"/>
    <col min="19" max="19" width="27.83203125" customWidth="1"/>
  </cols>
  <sheetData>
    <row r="1" spans="1:18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 ht="16" x14ac:dyDescent="0.2">
      <c r="A5" s="6" t="s">
        <v>7</v>
      </c>
      <c r="B5" s="6"/>
      <c r="C5" s="6"/>
      <c r="D5" s="7"/>
      <c r="E5" s="7"/>
      <c r="F5" s="7"/>
      <c r="G5" s="7"/>
      <c r="H5" s="7"/>
      <c r="I5" s="5"/>
      <c r="J5" s="5"/>
      <c r="K5" s="5"/>
      <c r="L5" s="5"/>
      <c r="M5" s="5"/>
      <c r="N5" s="5"/>
      <c r="O5" s="5"/>
      <c r="P5" s="5"/>
      <c r="Q5" s="5"/>
    </row>
    <row r="6" spans="1:18" ht="16" x14ac:dyDescent="0.2">
      <c r="A6" s="7"/>
      <c r="B6" s="7"/>
      <c r="C6" s="7"/>
      <c r="D6" s="7"/>
      <c r="E6" s="7"/>
      <c r="F6" s="7"/>
      <c r="G6" s="7"/>
      <c r="H6" s="7"/>
      <c r="I6" s="5"/>
      <c r="J6" s="5"/>
      <c r="K6" s="5"/>
      <c r="L6" s="5"/>
      <c r="M6" s="5"/>
      <c r="N6" s="5"/>
      <c r="O6" s="5"/>
      <c r="P6" s="5"/>
      <c r="Q6" s="5"/>
    </row>
    <row r="7" spans="1:18" ht="16" x14ac:dyDescent="0.2">
      <c r="A7" s="7" t="s">
        <v>8</v>
      </c>
      <c r="B7" s="7"/>
      <c r="C7" s="7"/>
      <c r="D7" s="7"/>
      <c r="E7" s="7"/>
      <c r="F7" s="7"/>
      <c r="G7" s="7"/>
      <c r="H7" s="7"/>
      <c r="I7" s="5"/>
      <c r="J7" s="5"/>
      <c r="K7" s="5"/>
      <c r="L7" s="5"/>
      <c r="M7" s="5"/>
      <c r="N7" s="5"/>
      <c r="O7" s="5"/>
      <c r="P7" s="5"/>
      <c r="Q7" s="5"/>
    </row>
    <row r="8" spans="1:18" ht="16" x14ac:dyDescent="0.2">
      <c r="A8" s="7" t="s">
        <v>13</v>
      </c>
      <c r="B8" s="7"/>
      <c r="C8" s="7"/>
      <c r="D8" s="7"/>
      <c r="E8" s="7"/>
      <c r="F8" s="7"/>
      <c r="G8" s="7"/>
      <c r="H8" s="7"/>
      <c r="I8" s="5"/>
      <c r="J8" s="5"/>
      <c r="K8" s="5"/>
      <c r="L8" s="5"/>
      <c r="M8" s="5"/>
      <c r="N8" s="5"/>
      <c r="O8" s="5"/>
      <c r="P8" s="5"/>
      <c r="Q8" s="5"/>
    </row>
    <row r="9" spans="1:18" ht="16" x14ac:dyDescent="0.2">
      <c r="A9" s="7" t="s">
        <v>9</v>
      </c>
      <c r="B9" s="7"/>
      <c r="C9" s="7"/>
      <c r="D9" s="7"/>
      <c r="E9" s="7"/>
      <c r="F9" s="7"/>
      <c r="G9" s="7"/>
      <c r="H9" s="7"/>
      <c r="I9" s="5"/>
      <c r="J9" s="5"/>
      <c r="K9" s="5"/>
      <c r="L9" s="5"/>
      <c r="M9" s="5"/>
      <c r="N9" s="5"/>
      <c r="O9" s="5"/>
      <c r="P9" s="5"/>
      <c r="Q9" s="5"/>
    </row>
    <row r="10" spans="1:18" ht="16" x14ac:dyDescent="0.2">
      <c r="A10" s="7" t="s">
        <v>10</v>
      </c>
      <c r="B10" s="7"/>
      <c r="C10" s="7"/>
      <c r="D10" s="7"/>
      <c r="E10" s="7"/>
      <c r="F10" s="7"/>
      <c r="G10" s="7"/>
      <c r="H10" s="7"/>
      <c r="I10" s="5"/>
      <c r="J10" s="5"/>
      <c r="K10" s="5"/>
      <c r="L10" s="5"/>
      <c r="M10" s="5"/>
      <c r="N10" s="5"/>
      <c r="O10" s="5"/>
      <c r="P10" s="5"/>
      <c r="Q10" s="5"/>
    </row>
    <row r="11" spans="1:18" ht="16" x14ac:dyDescent="0.2">
      <c r="A11" s="7" t="s">
        <v>11</v>
      </c>
      <c r="B11" s="7"/>
      <c r="C11" s="7"/>
      <c r="D11" s="7"/>
      <c r="E11" s="7"/>
      <c r="F11" s="7"/>
      <c r="G11" s="7"/>
      <c r="H11" s="7"/>
      <c r="I11" s="5"/>
      <c r="J11" s="5"/>
      <c r="K11" s="5"/>
      <c r="L11" s="5"/>
      <c r="M11" s="5"/>
      <c r="N11" s="5"/>
      <c r="O11" s="5"/>
      <c r="P11" s="5"/>
      <c r="Q11" s="5"/>
    </row>
    <row r="12" spans="1:18" ht="16" x14ac:dyDescent="0.2">
      <c r="A12" s="7" t="s">
        <v>45</v>
      </c>
      <c r="B12" s="7"/>
      <c r="C12" s="7"/>
      <c r="D12" s="7"/>
      <c r="E12" s="7"/>
      <c r="F12" s="7"/>
      <c r="G12" s="7"/>
      <c r="H12" s="7"/>
      <c r="I12" s="5"/>
      <c r="J12" s="5"/>
      <c r="K12" s="5"/>
      <c r="L12" s="5"/>
      <c r="M12" s="5"/>
      <c r="N12" s="5"/>
      <c r="O12" s="5"/>
      <c r="P12" s="5"/>
      <c r="Q12" s="5"/>
    </row>
    <row r="13" spans="1:18" ht="16" x14ac:dyDescent="0.2">
      <c r="A13" s="6"/>
      <c r="B13" s="7"/>
      <c r="C13" s="7"/>
      <c r="D13" s="7"/>
      <c r="E13" s="7"/>
      <c r="F13" s="7"/>
      <c r="G13" s="7"/>
      <c r="H13" s="7"/>
      <c r="I13" s="5"/>
      <c r="J13" s="5"/>
      <c r="K13" s="5"/>
      <c r="L13" s="5"/>
      <c r="M13" s="5"/>
      <c r="N13" s="5"/>
      <c r="O13" s="5"/>
      <c r="P13" s="5"/>
      <c r="Q13" s="5"/>
    </row>
    <row r="14" spans="1:18" ht="17" thickBot="1" x14ac:dyDescent="0.25">
      <c r="A14" s="8" t="s">
        <v>32</v>
      </c>
      <c r="B14" s="8"/>
      <c r="C14" s="8"/>
      <c r="D14" s="8"/>
      <c r="E14" s="9" t="s">
        <v>0</v>
      </c>
      <c r="F14" s="32"/>
      <c r="G14" s="7"/>
      <c r="H14" s="7"/>
      <c r="I14" s="5"/>
      <c r="J14" s="5"/>
      <c r="K14" s="5"/>
      <c r="L14" s="5"/>
      <c r="M14" s="5"/>
      <c r="N14" s="5"/>
      <c r="O14" s="5"/>
      <c r="P14" s="5"/>
      <c r="Q14" s="5"/>
    </row>
    <row r="15" spans="1:18" ht="17" thickBot="1" x14ac:dyDescent="0.25">
      <c r="A15" s="7" t="s">
        <v>14</v>
      </c>
      <c r="B15" s="7"/>
      <c r="C15" s="7"/>
      <c r="D15" s="7" t="s">
        <v>15</v>
      </c>
      <c r="E15" s="10"/>
      <c r="F15" s="33"/>
      <c r="G15" s="7"/>
      <c r="H15" s="7"/>
      <c r="I15" s="5"/>
      <c r="J15" s="5"/>
      <c r="K15" s="5"/>
      <c r="L15" s="5"/>
      <c r="M15" s="5"/>
      <c r="N15" s="5"/>
      <c r="O15" s="5"/>
      <c r="P15" s="5"/>
      <c r="Q15" s="5"/>
    </row>
    <row r="16" spans="1:18" ht="17" thickBot="1" x14ac:dyDescent="0.25">
      <c r="A16" s="7"/>
      <c r="B16" s="7"/>
      <c r="C16" s="7"/>
      <c r="D16" s="7" t="s">
        <v>16</v>
      </c>
      <c r="E16" s="11"/>
      <c r="F16" s="34"/>
      <c r="G16" s="12" t="s">
        <v>148</v>
      </c>
      <c r="H16" s="13"/>
      <c r="I16" s="13"/>
      <c r="J16" s="13"/>
      <c r="K16" s="13"/>
      <c r="L16" s="13"/>
      <c r="M16" s="13"/>
      <c r="N16" s="14"/>
      <c r="O16" s="31"/>
      <c r="P16" s="5"/>
      <c r="Q16" s="5"/>
      <c r="R16" s="2"/>
    </row>
    <row r="17" spans="1:18" ht="17" thickBot="1" x14ac:dyDescent="0.25">
      <c r="A17" s="7"/>
      <c r="B17" s="7"/>
      <c r="C17" s="7"/>
      <c r="D17" s="7" t="s">
        <v>17</v>
      </c>
      <c r="E17" s="15"/>
      <c r="F17" s="33"/>
      <c r="G17" s="5"/>
      <c r="H17" s="5"/>
      <c r="I17" s="5"/>
      <c r="J17" s="5"/>
      <c r="K17" s="5"/>
      <c r="L17" s="5"/>
      <c r="M17" s="5"/>
      <c r="N17" s="5"/>
      <c r="O17" s="31"/>
      <c r="P17" s="5"/>
      <c r="Q17" s="5"/>
      <c r="R17" s="2"/>
    </row>
    <row r="18" spans="1:18" ht="16" x14ac:dyDescent="0.2">
      <c r="A18" s="7"/>
      <c r="B18" s="7"/>
      <c r="C18" s="7"/>
      <c r="D18" s="7" t="s">
        <v>18</v>
      </c>
      <c r="E18" s="11"/>
      <c r="F18" s="34"/>
      <c r="G18" s="16" t="s">
        <v>159</v>
      </c>
      <c r="H18" s="17"/>
      <c r="I18" s="17"/>
      <c r="J18" s="17"/>
      <c r="K18" s="17"/>
      <c r="L18" s="17"/>
      <c r="M18" s="17"/>
      <c r="N18" s="18"/>
      <c r="O18" s="31"/>
      <c r="P18" s="5"/>
      <c r="Q18" s="5"/>
      <c r="R18" s="2"/>
    </row>
    <row r="19" spans="1:18" ht="17" thickBot="1" x14ac:dyDescent="0.25">
      <c r="A19" s="7"/>
      <c r="B19" s="7"/>
      <c r="C19" s="7"/>
      <c r="D19" s="7" t="s">
        <v>150</v>
      </c>
      <c r="E19" s="15"/>
      <c r="F19" s="34"/>
      <c r="G19" s="19" t="s">
        <v>120</v>
      </c>
      <c r="H19" s="20"/>
      <c r="I19" s="21"/>
      <c r="J19" s="21"/>
      <c r="K19" s="21"/>
      <c r="L19" s="21"/>
      <c r="M19" s="21"/>
      <c r="N19" s="22"/>
      <c r="O19" s="31"/>
      <c r="P19" s="5"/>
      <c r="Q19" s="5"/>
    </row>
    <row r="20" spans="1:18" ht="16" x14ac:dyDescent="0.2">
      <c r="A20" s="7"/>
      <c r="B20" s="7"/>
      <c r="C20" s="7"/>
      <c r="D20" s="7" t="s">
        <v>19</v>
      </c>
      <c r="E20" s="15"/>
      <c r="F20" s="33"/>
      <c r="G20" s="7"/>
      <c r="H20" s="7"/>
      <c r="I20" s="5"/>
      <c r="J20" s="5"/>
      <c r="K20" s="5"/>
      <c r="L20" s="5"/>
      <c r="M20" s="5"/>
      <c r="N20" s="5"/>
      <c r="O20" s="5"/>
      <c r="P20" s="5"/>
      <c r="Q20" s="5"/>
    </row>
    <row r="21" spans="1:18" ht="16" x14ac:dyDescent="0.2">
      <c r="A21" s="7"/>
      <c r="B21" s="7"/>
      <c r="C21" s="7"/>
      <c r="D21" s="7" t="s">
        <v>20</v>
      </c>
      <c r="E21" s="15"/>
      <c r="F21" s="33"/>
      <c r="G21" s="7"/>
      <c r="H21" s="7"/>
      <c r="I21" s="5"/>
      <c r="J21" s="5"/>
      <c r="K21" s="5"/>
      <c r="L21" s="5"/>
      <c r="M21" s="5"/>
      <c r="N21" s="5"/>
      <c r="O21" s="5"/>
      <c r="P21" s="5"/>
      <c r="Q21" s="5"/>
    </row>
    <row r="22" spans="1:18" ht="16" x14ac:dyDescent="0.2">
      <c r="A22" s="7"/>
      <c r="B22" s="7"/>
      <c r="C22" s="7"/>
      <c r="D22" s="7" t="s">
        <v>21</v>
      </c>
      <c r="E22" s="15"/>
      <c r="F22" s="33"/>
      <c r="G22" s="7"/>
      <c r="H22" s="7"/>
      <c r="I22" s="5"/>
      <c r="J22" s="5"/>
      <c r="K22" s="5"/>
      <c r="L22" s="5"/>
      <c r="M22" s="5"/>
      <c r="N22" s="5"/>
      <c r="O22" s="5"/>
      <c r="P22" s="5"/>
      <c r="Q22" s="5"/>
    </row>
    <row r="23" spans="1:18" ht="16" x14ac:dyDescent="0.2">
      <c r="A23" s="7"/>
      <c r="B23" s="7"/>
      <c r="C23" s="7"/>
      <c r="D23" s="7" t="s">
        <v>22</v>
      </c>
      <c r="E23" s="15"/>
      <c r="F23" s="33"/>
      <c r="G23" s="7"/>
      <c r="H23" s="7"/>
      <c r="I23" s="5"/>
      <c r="J23" s="5"/>
      <c r="K23" s="5"/>
      <c r="L23" s="5"/>
      <c r="M23" s="5"/>
      <c r="N23" s="5"/>
      <c r="O23" s="5"/>
      <c r="P23" s="5"/>
      <c r="Q23" s="5"/>
    </row>
    <row r="24" spans="1:18" ht="16" x14ac:dyDescent="0.2">
      <c r="A24" s="7"/>
      <c r="B24" s="7"/>
      <c r="C24" s="7"/>
      <c r="D24" s="7" t="s">
        <v>23</v>
      </c>
      <c r="E24" s="15"/>
      <c r="F24" s="33"/>
      <c r="G24" s="7"/>
      <c r="H24" s="7"/>
      <c r="I24" s="5"/>
      <c r="J24" s="5"/>
      <c r="K24" s="5"/>
      <c r="L24" s="5"/>
      <c r="M24" s="5"/>
      <c r="N24" s="5"/>
      <c r="O24" s="5"/>
      <c r="P24" s="5"/>
      <c r="Q24" s="5"/>
    </row>
    <row r="25" spans="1:18" ht="16" x14ac:dyDescent="0.2">
      <c r="A25" s="7" t="s">
        <v>33</v>
      </c>
      <c r="B25" s="7"/>
      <c r="C25" s="7"/>
      <c r="D25" s="7" t="s">
        <v>24</v>
      </c>
      <c r="E25" s="15"/>
      <c r="F25" s="33"/>
      <c r="G25" s="7"/>
      <c r="H25" s="7"/>
      <c r="I25" s="5"/>
      <c r="J25" s="5"/>
      <c r="K25" s="5"/>
      <c r="L25" s="5"/>
      <c r="M25" s="5"/>
      <c r="N25" s="5"/>
      <c r="O25" s="5"/>
      <c r="P25" s="5"/>
      <c r="Q25" s="5"/>
    </row>
    <row r="26" spans="1:18" ht="16" x14ac:dyDescent="0.2">
      <c r="A26" s="7"/>
      <c r="B26" s="7"/>
      <c r="C26" s="7"/>
      <c r="D26" s="7" t="s">
        <v>25</v>
      </c>
      <c r="E26" s="15"/>
      <c r="F26" s="33"/>
      <c r="G26" s="7"/>
      <c r="H26" s="7"/>
      <c r="I26" s="5"/>
      <c r="J26" s="5"/>
      <c r="K26" s="5"/>
      <c r="L26" s="5"/>
      <c r="M26" s="5"/>
      <c r="N26" s="5"/>
      <c r="O26" s="5"/>
      <c r="P26" s="5"/>
      <c r="Q26" s="5"/>
    </row>
    <row r="27" spans="1:18" ht="16" x14ac:dyDescent="0.2">
      <c r="A27" s="7"/>
      <c r="B27" s="7"/>
      <c r="C27" s="7"/>
      <c r="D27" s="7" t="s">
        <v>26</v>
      </c>
      <c r="E27" s="15"/>
      <c r="F27" s="33"/>
      <c r="G27" s="7"/>
      <c r="H27" s="7"/>
      <c r="I27" s="5"/>
      <c r="J27" s="5"/>
      <c r="K27" s="5"/>
      <c r="L27" s="5"/>
      <c r="M27" s="5"/>
      <c r="N27" s="5"/>
      <c r="O27" s="5"/>
      <c r="P27" s="5"/>
      <c r="Q27" s="5"/>
    </row>
    <row r="28" spans="1:18" ht="16" x14ac:dyDescent="0.2">
      <c r="A28" s="7"/>
      <c r="B28" s="7"/>
      <c r="C28" s="7"/>
      <c r="D28" s="7" t="s">
        <v>27</v>
      </c>
      <c r="E28" s="15"/>
      <c r="F28" s="33"/>
      <c r="G28" s="7"/>
      <c r="H28" s="7"/>
      <c r="I28" s="5"/>
      <c r="J28" s="5"/>
      <c r="K28" s="5"/>
      <c r="L28" s="5"/>
      <c r="M28" s="5"/>
      <c r="N28" s="5"/>
      <c r="O28" s="5"/>
      <c r="P28" s="5"/>
      <c r="Q28" s="5"/>
    </row>
    <row r="29" spans="1:18" ht="16" x14ac:dyDescent="0.2">
      <c r="A29" s="7"/>
      <c r="B29" s="7"/>
      <c r="C29" s="7"/>
      <c r="D29" s="7" t="s">
        <v>28</v>
      </c>
      <c r="E29" s="15"/>
      <c r="F29" s="33"/>
      <c r="G29" s="7"/>
      <c r="H29" s="7"/>
      <c r="I29" s="5"/>
      <c r="J29" s="5"/>
      <c r="K29" s="5"/>
      <c r="L29" s="5"/>
      <c r="M29" s="5"/>
      <c r="N29" s="5"/>
      <c r="O29" s="5"/>
      <c r="P29" s="5"/>
      <c r="Q29" s="5"/>
    </row>
    <row r="30" spans="1:18" ht="16" x14ac:dyDescent="0.2">
      <c r="A30" s="7"/>
      <c r="B30" s="7"/>
      <c r="C30" s="7"/>
      <c r="D30" s="7" t="s">
        <v>29</v>
      </c>
      <c r="E30" s="15"/>
      <c r="F30" s="33"/>
      <c r="G30" s="7"/>
      <c r="H30" s="7"/>
      <c r="I30" s="5"/>
      <c r="J30" s="5"/>
      <c r="K30" s="5"/>
      <c r="L30" s="5"/>
      <c r="M30" s="5"/>
      <c r="N30" s="5"/>
      <c r="O30" s="5"/>
      <c r="P30" s="5"/>
      <c r="Q30" s="5"/>
    </row>
    <row r="31" spans="1:18" ht="16" x14ac:dyDescent="0.2">
      <c r="A31" s="7" t="s">
        <v>34</v>
      </c>
      <c r="B31" s="7"/>
      <c r="C31" s="7"/>
      <c r="D31" s="7" t="s">
        <v>30</v>
      </c>
      <c r="E31" s="15"/>
      <c r="F31" s="33"/>
      <c r="G31" s="7"/>
      <c r="H31" s="7"/>
      <c r="I31" s="5"/>
      <c r="J31" s="5"/>
      <c r="K31" s="5"/>
      <c r="L31" s="5"/>
      <c r="M31" s="5"/>
      <c r="N31" s="5"/>
      <c r="O31" s="5"/>
      <c r="P31" s="5"/>
      <c r="Q31" s="5"/>
    </row>
    <row r="32" spans="1:18" ht="17" thickBot="1" x14ac:dyDescent="0.25">
      <c r="A32" s="23"/>
      <c r="B32" s="23"/>
      <c r="C32" s="23"/>
      <c r="D32" s="23" t="s">
        <v>31</v>
      </c>
      <c r="E32" s="24"/>
      <c r="F32" s="33"/>
      <c r="G32" s="7"/>
      <c r="H32" s="7"/>
      <c r="I32" s="5"/>
      <c r="J32" s="5"/>
      <c r="K32" s="5"/>
      <c r="L32" s="5"/>
      <c r="M32" s="5"/>
      <c r="N32" s="5"/>
      <c r="O32" s="5"/>
      <c r="P32" s="5"/>
      <c r="Q32" s="5"/>
    </row>
    <row r="33" spans="1:17" ht="17" thickBot="1" x14ac:dyDescent="0.25">
      <c r="A33" s="8" t="s">
        <v>35</v>
      </c>
      <c r="B33" s="8"/>
      <c r="C33" s="8"/>
      <c r="D33" s="8"/>
      <c r="E33" s="25">
        <f>SUM(E15:E32)</f>
        <v>0</v>
      </c>
      <c r="F33" s="35"/>
      <c r="G33" s="7"/>
      <c r="H33" s="7"/>
      <c r="I33" s="5"/>
      <c r="J33" s="5"/>
      <c r="K33" s="5"/>
      <c r="L33" s="5"/>
      <c r="M33" s="5"/>
      <c r="N33" s="5"/>
      <c r="O33" s="5"/>
      <c r="P33" s="5"/>
      <c r="Q33" s="5"/>
    </row>
    <row r="34" spans="1:17" ht="16" x14ac:dyDescent="0.2">
      <c r="A34" s="7"/>
      <c r="B34" s="7"/>
      <c r="C34" s="7"/>
      <c r="D34" s="7"/>
      <c r="E34" s="7"/>
      <c r="F34" s="36"/>
      <c r="G34" s="7"/>
      <c r="H34" s="7"/>
      <c r="I34" s="5"/>
      <c r="J34" s="5"/>
      <c r="K34" s="5"/>
      <c r="L34" s="5"/>
      <c r="M34" s="5"/>
      <c r="N34" s="5"/>
      <c r="O34" s="5"/>
      <c r="P34" s="5"/>
      <c r="Q34" s="5"/>
    </row>
    <row r="35" spans="1:17" ht="17" thickBot="1" x14ac:dyDescent="0.25">
      <c r="A35" s="8" t="s">
        <v>36</v>
      </c>
      <c r="B35" s="8"/>
      <c r="C35" s="8"/>
      <c r="D35" s="8"/>
      <c r="E35" s="9" t="s">
        <v>0</v>
      </c>
      <c r="F35" s="32"/>
      <c r="G35" s="7"/>
      <c r="H35" s="7"/>
      <c r="I35" s="5"/>
      <c r="J35" s="5"/>
      <c r="K35" s="5"/>
      <c r="L35" s="5"/>
      <c r="M35" s="5"/>
      <c r="N35" s="5"/>
      <c r="O35" s="5"/>
      <c r="P35" s="5"/>
      <c r="Q35" s="5"/>
    </row>
    <row r="36" spans="1:17" ht="16" x14ac:dyDescent="0.2">
      <c r="A36" s="7" t="s">
        <v>37</v>
      </c>
      <c r="B36" s="7"/>
      <c r="C36" s="7"/>
      <c r="D36" s="7" t="s">
        <v>38</v>
      </c>
      <c r="E36" s="10">
        <f xml:space="preserve"> E18</f>
        <v>0</v>
      </c>
      <c r="F36" s="33"/>
      <c r="G36" s="7"/>
      <c r="H36" s="7"/>
      <c r="I36" s="5"/>
      <c r="J36" s="5"/>
      <c r="K36" s="5"/>
      <c r="L36" s="5"/>
      <c r="M36" s="5"/>
      <c r="N36" s="5"/>
      <c r="O36" s="5"/>
      <c r="P36" s="5"/>
      <c r="Q36" s="5"/>
    </row>
    <row r="37" spans="1:17" ht="16" x14ac:dyDescent="0.2">
      <c r="A37" s="7"/>
      <c r="B37" s="7"/>
      <c r="C37" s="7"/>
      <c r="D37" s="7" t="s">
        <v>39</v>
      </c>
      <c r="E37" s="15"/>
      <c r="F37" s="33"/>
      <c r="G37" s="7"/>
      <c r="H37" s="7"/>
      <c r="I37" s="5"/>
      <c r="J37" s="5"/>
      <c r="K37" s="5"/>
      <c r="L37" s="5"/>
      <c r="M37" s="5"/>
      <c r="N37" s="5"/>
      <c r="O37" s="5"/>
      <c r="P37" s="5"/>
      <c r="Q37" s="5"/>
    </row>
    <row r="38" spans="1:17" ht="16" x14ac:dyDescent="0.2">
      <c r="A38" s="7"/>
      <c r="B38" s="7"/>
      <c r="C38" s="7"/>
      <c r="D38" s="7" t="s">
        <v>188</v>
      </c>
      <c r="E38" s="15"/>
      <c r="F38" s="33"/>
      <c r="G38" s="7"/>
      <c r="H38" s="7"/>
      <c r="I38" s="5"/>
      <c r="J38" s="5"/>
      <c r="K38" s="5"/>
      <c r="L38" s="5"/>
      <c r="M38" s="5"/>
      <c r="N38" s="5"/>
      <c r="O38" s="5"/>
      <c r="P38" s="5"/>
      <c r="Q38" s="5"/>
    </row>
    <row r="39" spans="1:17" ht="16" x14ac:dyDescent="0.2">
      <c r="A39" s="7"/>
      <c r="B39" s="7"/>
      <c r="C39" s="7"/>
      <c r="D39" s="7"/>
      <c r="E39" s="15"/>
      <c r="F39" s="33"/>
      <c r="G39" s="7"/>
      <c r="H39" s="7"/>
      <c r="I39" s="5"/>
      <c r="J39" s="5"/>
      <c r="K39" s="5"/>
      <c r="L39" s="5"/>
      <c r="M39" s="5"/>
      <c r="N39" s="5"/>
      <c r="O39" s="5"/>
      <c r="P39" s="5"/>
      <c r="Q39" s="5"/>
    </row>
    <row r="40" spans="1:17" ht="16" x14ac:dyDescent="0.2">
      <c r="A40" s="7" t="s">
        <v>40</v>
      </c>
      <c r="B40" s="7"/>
      <c r="C40" s="7"/>
      <c r="D40" s="7" t="s">
        <v>41</v>
      </c>
      <c r="E40" s="15"/>
      <c r="F40" s="33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</row>
    <row r="41" spans="1:17" ht="16" x14ac:dyDescent="0.2">
      <c r="A41" s="7"/>
      <c r="B41" s="7"/>
      <c r="C41" s="7"/>
      <c r="D41" s="7" t="s">
        <v>42</v>
      </c>
      <c r="E41" s="15"/>
      <c r="F41" s="33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</row>
    <row r="42" spans="1:17" ht="16" x14ac:dyDescent="0.2">
      <c r="A42" s="7"/>
      <c r="B42" s="7"/>
      <c r="C42" s="7"/>
      <c r="D42" s="7" t="s">
        <v>43</v>
      </c>
      <c r="E42" s="15"/>
      <c r="F42" s="33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</row>
    <row r="43" spans="1:17" ht="17" thickBot="1" x14ac:dyDescent="0.25">
      <c r="A43" s="23"/>
      <c r="B43" s="23"/>
      <c r="C43" s="23"/>
      <c r="D43" s="23" t="s">
        <v>44</v>
      </c>
      <c r="E43" s="24"/>
      <c r="F43" s="33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</row>
    <row r="44" spans="1:17" ht="17" thickBot="1" x14ac:dyDescent="0.25">
      <c r="A44" s="8" t="s">
        <v>47</v>
      </c>
      <c r="B44" s="8"/>
      <c r="C44" s="8"/>
      <c r="D44" s="8"/>
      <c r="E44" s="25">
        <f>SUM(E36:E43)</f>
        <v>0</v>
      </c>
      <c r="F44" s="35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</row>
    <row r="45" spans="1:17" ht="16" x14ac:dyDescent="0.2">
      <c r="A45" s="26"/>
      <c r="B45" s="26"/>
      <c r="C45" s="26"/>
      <c r="D45" s="26"/>
      <c r="E45" s="26"/>
      <c r="F45" s="26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</row>
    <row r="46" spans="1:17" ht="16" x14ac:dyDescent="0.2">
      <c r="A46" s="6" t="s">
        <v>46</v>
      </c>
      <c r="B46" s="6"/>
      <c r="C46" s="6"/>
      <c r="D46" s="6"/>
      <c r="E46" s="6"/>
      <c r="F46" s="26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</row>
    <row r="47" spans="1:17" ht="17" thickBot="1" x14ac:dyDescent="0.25">
      <c r="A47" s="6" t="s">
        <v>12</v>
      </c>
      <c r="B47" s="7"/>
      <c r="C47" s="7"/>
      <c r="D47" s="7"/>
      <c r="E47" s="7"/>
      <c r="F47" s="39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</row>
    <row r="48" spans="1:17" ht="17" thickBot="1" x14ac:dyDescent="0.25">
      <c r="A48" s="7"/>
      <c r="B48" s="7"/>
      <c r="C48" s="7"/>
      <c r="D48" s="27" t="s">
        <v>48</v>
      </c>
      <c r="E48" s="28">
        <f xml:space="preserve"> E44-E33</f>
        <v>0</v>
      </c>
      <c r="F48" s="38"/>
      <c r="G48" s="29" t="s">
        <v>121</v>
      </c>
      <c r="H48" s="30"/>
      <c r="I48" s="17"/>
      <c r="J48" s="17"/>
      <c r="K48" s="17"/>
      <c r="L48" s="18"/>
      <c r="M48" s="5"/>
      <c r="N48" s="5"/>
      <c r="O48" s="5"/>
      <c r="P48" s="5"/>
      <c r="Q48" s="5"/>
    </row>
    <row r="49" spans="1:17" ht="17" thickBot="1" x14ac:dyDescent="0.25">
      <c r="A49" s="7" t="s">
        <v>6</v>
      </c>
      <c r="B49" s="7"/>
      <c r="C49" s="7"/>
      <c r="D49" s="7"/>
      <c r="E49" s="7"/>
      <c r="F49" s="36"/>
      <c r="G49" s="19" t="s">
        <v>122</v>
      </c>
      <c r="H49" s="20"/>
      <c r="I49" s="21"/>
      <c r="J49" s="21"/>
      <c r="K49" s="21"/>
      <c r="L49" s="22"/>
      <c r="M49" s="5"/>
      <c r="N49" s="5"/>
      <c r="O49" s="5"/>
      <c r="P49" s="5"/>
      <c r="Q49" s="5"/>
    </row>
    <row r="50" spans="1:17" ht="16" x14ac:dyDescent="0.2">
      <c r="A50" s="7"/>
      <c r="B50" s="7"/>
      <c r="C50" s="7"/>
      <c r="D50" s="7"/>
      <c r="E50" s="7"/>
      <c r="F50" s="36"/>
      <c r="G50" s="7"/>
      <c r="H50" s="7"/>
      <c r="I50" s="5"/>
      <c r="J50" s="5"/>
      <c r="K50" s="5"/>
      <c r="L50" s="5"/>
      <c r="M50" s="5"/>
      <c r="N50" s="5"/>
      <c r="O50" s="5"/>
      <c r="P50" s="5"/>
      <c r="Q50" s="5"/>
    </row>
    <row r="51" spans="1:17" ht="16" x14ac:dyDescent="0.2">
      <c r="A51" s="7"/>
      <c r="B51" s="7"/>
      <c r="C51" s="7"/>
      <c r="D51" s="7"/>
      <c r="E51" s="7"/>
      <c r="F51" s="36"/>
      <c r="G51" s="7"/>
      <c r="H51" s="7"/>
      <c r="I51" s="5"/>
      <c r="J51" s="5"/>
      <c r="K51" s="5"/>
      <c r="L51" s="5"/>
      <c r="M51" s="5"/>
      <c r="N51" s="5"/>
      <c r="O51" s="5"/>
      <c r="P51" s="5"/>
      <c r="Q51" s="5"/>
    </row>
    <row r="52" spans="1:17" ht="16" x14ac:dyDescent="0.2">
      <c r="A52" s="7"/>
      <c r="B52" s="7"/>
      <c r="C52" s="7"/>
      <c r="D52" s="7"/>
      <c r="E52" s="7"/>
      <c r="F52" s="36"/>
      <c r="G52" s="7"/>
      <c r="H52" s="7"/>
      <c r="I52" s="5"/>
      <c r="J52" s="5"/>
      <c r="K52" s="5"/>
      <c r="L52" s="5"/>
      <c r="M52" s="5"/>
      <c r="N52" s="5"/>
      <c r="O52" s="5"/>
      <c r="P52" s="5"/>
      <c r="Q52" s="5"/>
    </row>
    <row r="53" spans="1:17" ht="16" x14ac:dyDescent="0.2">
      <c r="A53" s="7"/>
      <c r="B53" s="7"/>
      <c r="C53" s="7"/>
      <c r="D53" s="7"/>
      <c r="E53" s="7"/>
      <c r="F53" s="36"/>
      <c r="G53" s="7"/>
      <c r="H53" s="7"/>
      <c r="I53" s="5"/>
      <c r="J53" s="5"/>
      <c r="K53" s="5"/>
      <c r="L53" s="5"/>
      <c r="M53" s="5"/>
      <c r="N53" s="5"/>
      <c r="O53" s="5"/>
      <c r="P53" s="5"/>
      <c r="Q53" s="5"/>
    </row>
    <row r="54" spans="1:17" ht="16" x14ac:dyDescent="0.2">
      <c r="A54" s="7"/>
      <c r="B54" s="7"/>
      <c r="C54" s="7"/>
      <c r="D54" s="7"/>
      <c r="E54" s="7"/>
      <c r="F54" s="36"/>
      <c r="G54" s="7"/>
      <c r="H54" s="7"/>
      <c r="I54" s="5"/>
      <c r="J54" s="5"/>
      <c r="K54" s="5"/>
      <c r="L54" s="5"/>
      <c r="M54" s="5"/>
      <c r="N54" s="5"/>
      <c r="O54" s="5"/>
      <c r="P54" s="5"/>
      <c r="Q54" s="5"/>
    </row>
    <row r="55" spans="1:17" ht="16" x14ac:dyDescent="0.2">
      <c r="A55" s="7"/>
      <c r="B55" s="7"/>
      <c r="C55" s="7"/>
      <c r="D55" s="7"/>
      <c r="E55" s="7"/>
      <c r="F55" s="36"/>
      <c r="G55" s="7"/>
      <c r="H55" s="7"/>
      <c r="I55" s="5"/>
      <c r="J55" s="5"/>
      <c r="K55" s="5"/>
      <c r="L55" s="5"/>
      <c r="M55" s="5"/>
      <c r="N55" s="5"/>
      <c r="O55" s="5"/>
      <c r="P55" s="5"/>
      <c r="Q55" s="5"/>
    </row>
    <row r="56" spans="1:17" ht="16" x14ac:dyDescent="0.2">
      <c r="A56" s="7"/>
      <c r="B56" s="7"/>
      <c r="C56" s="7"/>
      <c r="D56" s="7"/>
      <c r="E56" s="7"/>
      <c r="F56" s="36"/>
      <c r="G56" s="7"/>
      <c r="H56" s="7"/>
      <c r="I56" s="5"/>
      <c r="J56" s="5"/>
      <c r="K56" s="5"/>
      <c r="L56" s="5"/>
      <c r="M56" s="5"/>
      <c r="N56" s="5"/>
      <c r="O56" s="5"/>
      <c r="P56" s="5"/>
      <c r="Q56" s="5"/>
    </row>
    <row r="57" spans="1:17" ht="16" x14ac:dyDescent="0.2">
      <c r="A57" s="7"/>
      <c r="C57" s="7"/>
      <c r="D57" s="7"/>
      <c r="E57" s="7"/>
      <c r="F57" s="36"/>
      <c r="G57" s="7"/>
      <c r="H57" s="7"/>
      <c r="I57" s="5"/>
      <c r="J57" s="5"/>
      <c r="K57" s="5"/>
      <c r="L57" s="5"/>
      <c r="M57" s="5"/>
      <c r="N57" s="5"/>
      <c r="O57" s="5"/>
      <c r="P57" s="5"/>
      <c r="Q57" s="5"/>
    </row>
    <row r="58" spans="1:17" ht="16" x14ac:dyDescent="0.2">
      <c r="A58" s="7"/>
      <c r="B58" s="7"/>
      <c r="C58" s="7"/>
      <c r="D58" s="7"/>
      <c r="E58" s="7"/>
      <c r="F58" s="36"/>
      <c r="G58" s="7"/>
      <c r="H58" s="7"/>
      <c r="I58" s="5"/>
      <c r="J58" s="5"/>
      <c r="K58" s="5"/>
      <c r="L58" s="5"/>
      <c r="M58" s="5"/>
      <c r="N58" s="5"/>
      <c r="O58" s="5"/>
      <c r="P58" s="5"/>
      <c r="Q58" s="5"/>
    </row>
    <row r="59" spans="1:17" ht="16" x14ac:dyDescent="0.2">
      <c r="A59" s="7"/>
      <c r="B59" s="7"/>
      <c r="C59" s="7"/>
      <c r="D59" s="7"/>
      <c r="E59" s="7"/>
      <c r="F59" s="36"/>
      <c r="G59" s="7"/>
      <c r="H59" s="7"/>
      <c r="I59" s="5"/>
      <c r="J59" s="5"/>
      <c r="K59" s="5"/>
      <c r="L59" s="5"/>
      <c r="M59" s="5"/>
      <c r="N59" s="5"/>
      <c r="O59" s="5"/>
      <c r="P59" s="5"/>
      <c r="Q59" s="5"/>
    </row>
    <row r="60" spans="1:17" ht="16" x14ac:dyDescent="0.2">
      <c r="A60" s="4"/>
      <c r="B60" s="4"/>
      <c r="C60" s="4"/>
      <c r="D60" s="4"/>
      <c r="E60" s="4"/>
      <c r="F60" s="37"/>
      <c r="G60" s="4"/>
      <c r="H60" s="4"/>
    </row>
    <row r="61" spans="1:17" ht="16" x14ac:dyDescent="0.2">
      <c r="A61" s="4"/>
      <c r="B61" s="4"/>
      <c r="C61" s="4"/>
      <c r="D61" s="4"/>
      <c r="E61" s="4"/>
      <c r="F61" s="37"/>
      <c r="G61" s="4"/>
      <c r="H61" s="4"/>
    </row>
    <row r="62" spans="1:17" ht="16" x14ac:dyDescent="0.2">
      <c r="A62" s="4"/>
      <c r="B62" s="4"/>
      <c r="C62" s="4"/>
      <c r="D62" s="4"/>
      <c r="E62" s="4"/>
      <c r="F62" s="37"/>
      <c r="G62" s="4"/>
      <c r="H62" s="4"/>
    </row>
    <row r="63" spans="1:17" ht="16" x14ac:dyDescent="0.2">
      <c r="A63" s="4"/>
      <c r="B63" s="4"/>
      <c r="C63" s="4"/>
      <c r="D63" s="4"/>
      <c r="E63" s="4"/>
      <c r="F63" s="37"/>
      <c r="G63" s="4"/>
      <c r="H63" s="4"/>
    </row>
    <row r="64" spans="1:17" ht="16" x14ac:dyDescent="0.2">
      <c r="A64" s="4"/>
      <c r="B64" s="4"/>
      <c r="C64" s="4"/>
      <c r="D64" s="4"/>
      <c r="E64" s="4"/>
      <c r="F64" s="37"/>
      <c r="G64" s="4"/>
      <c r="H64" s="4"/>
    </row>
    <row r="65" spans="1:8" ht="16" x14ac:dyDescent="0.2">
      <c r="A65" s="4"/>
      <c r="B65" s="4"/>
      <c r="C65" s="4"/>
      <c r="D65" s="4"/>
      <c r="E65" s="4"/>
      <c r="F65" s="37"/>
      <c r="G65" s="4"/>
      <c r="H65" s="4"/>
    </row>
    <row r="66" spans="1:8" ht="16" x14ac:dyDescent="0.2">
      <c r="A66" s="4"/>
      <c r="B66" s="4"/>
      <c r="C66" s="4"/>
      <c r="D66" s="4"/>
      <c r="E66" s="4"/>
      <c r="F66" s="37"/>
      <c r="G66" s="4"/>
      <c r="H66" s="4"/>
    </row>
    <row r="67" spans="1:8" ht="16" x14ac:dyDescent="0.2">
      <c r="A67" s="4"/>
      <c r="B67" s="4"/>
      <c r="C67" s="4"/>
      <c r="D67" s="4"/>
      <c r="E67" s="4"/>
      <c r="F67" s="37"/>
      <c r="G67" s="4"/>
      <c r="H67" s="4"/>
    </row>
    <row r="68" spans="1:8" ht="16" x14ac:dyDescent="0.2">
      <c r="A68" s="4"/>
      <c r="B68" s="4"/>
      <c r="C68" s="4"/>
      <c r="D68" s="4"/>
      <c r="E68" s="4"/>
      <c r="F68" s="37"/>
      <c r="G68" s="4"/>
      <c r="H68" s="4"/>
    </row>
    <row r="69" spans="1:8" ht="16" x14ac:dyDescent="0.2">
      <c r="A69" s="4"/>
      <c r="B69" s="4"/>
      <c r="C69" s="4"/>
      <c r="D69" s="4"/>
      <c r="E69" s="4"/>
      <c r="F69" s="37"/>
      <c r="G69" s="4"/>
      <c r="H69" s="4"/>
    </row>
    <row r="70" spans="1:8" ht="16" x14ac:dyDescent="0.2">
      <c r="A70" s="4"/>
      <c r="B70" s="4"/>
      <c r="C70" s="4"/>
      <c r="D70" s="4"/>
      <c r="E70" s="4"/>
      <c r="F70" s="4"/>
      <c r="G70" s="4"/>
      <c r="H70" s="4"/>
    </row>
    <row r="71" spans="1:8" ht="16" x14ac:dyDescent="0.2">
      <c r="A71" s="4"/>
      <c r="B71" s="4"/>
      <c r="C71" s="4"/>
      <c r="D71" s="4"/>
      <c r="E71" s="4"/>
      <c r="F71" s="4"/>
      <c r="G71" s="4"/>
      <c r="H71" s="4"/>
    </row>
    <row r="72" spans="1:8" ht="16" x14ac:dyDescent="0.2">
      <c r="A72" s="4"/>
      <c r="B72" s="4"/>
      <c r="C72" s="4"/>
      <c r="D72" s="4"/>
      <c r="E72" s="4"/>
      <c r="F72" s="4"/>
      <c r="G72" s="4"/>
      <c r="H72" s="4"/>
    </row>
    <row r="73" spans="1:8" ht="16" x14ac:dyDescent="0.2">
      <c r="A73" s="4"/>
      <c r="B73" s="4"/>
      <c r="C73" s="4"/>
      <c r="D73" s="4"/>
      <c r="E73" s="4"/>
      <c r="F73" s="4"/>
      <c r="G73" s="4"/>
      <c r="H73" s="4"/>
    </row>
    <row r="74" spans="1:8" ht="16" x14ac:dyDescent="0.2">
      <c r="A74" s="4"/>
      <c r="B74" s="4"/>
      <c r="C74" s="4"/>
      <c r="D74" s="4"/>
      <c r="E74" s="4"/>
      <c r="F74" s="4"/>
      <c r="G74" s="4"/>
      <c r="H74" s="4"/>
    </row>
    <row r="75" spans="1:8" ht="16" x14ac:dyDescent="0.2">
      <c r="A75" s="4"/>
      <c r="B75" s="4"/>
      <c r="C75" s="4"/>
      <c r="D75" s="4"/>
      <c r="E75" s="4"/>
      <c r="F75" s="4"/>
      <c r="G75" s="4"/>
      <c r="H75" s="4"/>
    </row>
    <row r="76" spans="1:8" ht="16" x14ac:dyDescent="0.2">
      <c r="A76" s="4"/>
      <c r="B76" s="4"/>
      <c r="C76" s="4"/>
      <c r="D76" s="4"/>
      <c r="E76" s="4"/>
      <c r="F76" s="4"/>
      <c r="G76" s="4"/>
      <c r="H76" s="4"/>
    </row>
    <row r="77" spans="1:8" ht="16" x14ac:dyDescent="0.2">
      <c r="A77" s="4"/>
      <c r="B77" s="4"/>
      <c r="C77" s="4"/>
      <c r="D77" s="4"/>
      <c r="E77" s="4"/>
      <c r="F77" s="4"/>
      <c r="G77" s="4"/>
      <c r="H77" s="4"/>
    </row>
    <row r="78" spans="1:8" ht="16" x14ac:dyDescent="0.2">
      <c r="A78" s="4"/>
      <c r="B78" s="4"/>
      <c r="C78" s="4"/>
      <c r="D78" s="4"/>
      <c r="E78" s="4"/>
      <c r="F78" s="4"/>
      <c r="G78" s="4"/>
      <c r="H78" s="4"/>
    </row>
    <row r="79" spans="1:8" ht="16" x14ac:dyDescent="0.2">
      <c r="A79" s="4"/>
      <c r="B79" s="4"/>
      <c r="C79" s="4"/>
      <c r="D79" s="4"/>
      <c r="E79" s="4"/>
      <c r="F79" s="4"/>
      <c r="G79" s="4"/>
      <c r="H79" s="4"/>
    </row>
    <row r="80" spans="1:8" ht="16" x14ac:dyDescent="0.2">
      <c r="A80" s="4"/>
      <c r="B80" s="4"/>
      <c r="C80" s="4"/>
      <c r="D80" s="4"/>
      <c r="E80" s="4"/>
      <c r="F80" s="4"/>
      <c r="G80" s="4"/>
      <c r="H80" s="4"/>
    </row>
    <row r="81" spans="1:8" ht="16" x14ac:dyDescent="0.2">
      <c r="A81" s="4"/>
      <c r="B81" s="4"/>
      <c r="C81" s="4"/>
      <c r="D81" s="4"/>
      <c r="E81" s="4"/>
      <c r="F81" s="4"/>
      <c r="G81" s="4"/>
      <c r="H81" s="4"/>
    </row>
    <row r="82" spans="1:8" ht="16" x14ac:dyDescent="0.2">
      <c r="A82" s="4"/>
      <c r="B82" s="4"/>
      <c r="C82" s="4"/>
      <c r="D82" s="4"/>
      <c r="E82" s="4"/>
      <c r="F82" s="4"/>
      <c r="G82" s="4"/>
      <c r="H82" s="4"/>
    </row>
    <row r="83" spans="1:8" ht="16" x14ac:dyDescent="0.2">
      <c r="A83" s="4"/>
      <c r="B83" s="4"/>
      <c r="C83" s="4"/>
      <c r="D83" s="4"/>
      <c r="E83" s="4"/>
      <c r="F83" s="4"/>
      <c r="G83" s="4"/>
      <c r="H83" s="4"/>
    </row>
    <row r="84" spans="1:8" ht="16" x14ac:dyDescent="0.2">
      <c r="A84" s="4"/>
      <c r="B84" s="4"/>
      <c r="C84" s="4"/>
      <c r="D84" s="4"/>
      <c r="E84" s="4"/>
      <c r="F84" s="4"/>
      <c r="G84" s="4"/>
      <c r="H84" s="4"/>
    </row>
    <row r="85" spans="1:8" ht="16" x14ac:dyDescent="0.2">
      <c r="A85" s="4"/>
      <c r="B85" s="4"/>
      <c r="C85" s="4"/>
      <c r="D85" s="4"/>
      <c r="E85" s="4"/>
      <c r="F85" s="4"/>
      <c r="G85" s="4"/>
      <c r="H85" s="4"/>
    </row>
    <row r="86" spans="1:8" ht="16" x14ac:dyDescent="0.2">
      <c r="A86" s="4"/>
      <c r="B86" s="4"/>
      <c r="C86" s="4"/>
      <c r="D86" s="4"/>
      <c r="E86" s="4"/>
      <c r="F86" s="4"/>
      <c r="G86" s="4"/>
      <c r="H86" s="4"/>
    </row>
    <row r="87" spans="1:8" ht="16" x14ac:dyDescent="0.2">
      <c r="A87" s="4"/>
      <c r="B87" s="4"/>
      <c r="C87" s="4"/>
      <c r="D87" s="4"/>
      <c r="E87" s="4"/>
      <c r="F87" s="4"/>
      <c r="G87" s="4"/>
      <c r="H87" s="4"/>
    </row>
    <row r="88" spans="1:8" ht="16" x14ac:dyDescent="0.2">
      <c r="A88" s="4"/>
      <c r="B88" s="4"/>
      <c r="C88" s="4"/>
      <c r="D88" s="4"/>
      <c r="E88" s="4"/>
      <c r="F88" s="4"/>
      <c r="G88" s="4"/>
      <c r="H88" s="4"/>
    </row>
    <row r="89" spans="1:8" ht="16" x14ac:dyDescent="0.2">
      <c r="A89" s="4"/>
      <c r="B89" s="4"/>
      <c r="C89" s="4"/>
      <c r="D89" s="4"/>
      <c r="E89" s="4"/>
      <c r="F89" s="4"/>
      <c r="G89" s="4"/>
      <c r="H89" s="4"/>
    </row>
    <row r="90" spans="1:8" ht="16" x14ac:dyDescent="0.2">
      <c r="A90" s="4"/>
      <c r="B90" s="4"/>
      <c r="C90" s="4"/>
      <c r="D90" s="4"/>
      <c r="E90" s="4"/>
      <c r="F90" s="4"/>
      <c r="G90" s="4"/>
      <c r="H90" s="4"/>
    </row>
    <row r="91" spans="1:8" ht="16" x14ac:dyDescent="0.2">
      <c r="A91" s="4"/>
      <c r="B91" s="4"/>
      <c r="C91" s="4"/>
      <c r="D91" s="4"/>
      <c r="E91" s="4"/>
      <c r="F91" s="4"/>
      <c r="G91" s="4"/>
      <c r="H91" s="4"/>
    </row>
    <row r="92" spans="1:8" ht="16" x14ac:dyDescent="0.2">
      <c r="A92" s="4"/>
      <c r="B92" s="4"/>
      <c r="C92" s="4"/>
      <c r="D92" s="4"/>
      <c r="E92" s="4"/>
      <c r="F92" s="4"/>
      <c r="G92" s="4"/>
      <c r="H92" s="4"/>
    </row>
    <row r="93" spans="1:8" ht="16" x14ac:dyDescent="0.2">
      <c r="A93" s="4"/>
      <c r="B93" s="4"/>
      <c r="C93" s="4"/>
      <c r="D93" s="4"/>
      <c r="E93" s="4"/>
      <c r="F93" s="4"/>
      <c r="G93" s="4"/>
      <c r="H93" s="4"/>
    </row>
    <row r="94" spans="1:8" ht="16" x14ac:dyDescent="0.2">
      <c r="A94" s="4"/>
      <c r="B94" s="4"/>
      <c r="C94" s="4"/>
      <c r="D94" s="4"/>
      <c r="E94" s="4"/>
      <c r="F94" s="4"/>
      <c r="G94" s="4"/>
      <c r="H94" s="4"/>
    </row>
    <row r="95" spans="1:8" ht="16" x14ac:dyDescent="0.2">
      <c r="A95" s="4"/>
      <c r="B95" s="4"/>
      <c r="C95" s="4"/>
      <c r="D95" s="4"/>
      <c r="E95" s="4"/>
      <c r="F95" s="4"/>
      <c r="G95" s="4"/>
      <c r="H95" s="4"/>
    </row>
    <row r="96" spans="1:8" ht="16" x14ac:dyDescent="0.2">
      <c r="A96" s="4"/>
      <c r="B96" s="4"/>
      <c r="C96" s="4"/>
      <c r="D96" s="4"/>
      <c r="E96" s="4"/>
      <c r="F96" s="4"/>
      <c r="G96" s="4"/>
      <c r="H96" s="4"/>
    </row>
    <row r="97" spans="1:8" ht="16" x14ac:dyDescent="0.2">
      <c r="A97" s="4"/>
      <c r="B97" s="4"/>
      <c r="C97" s="4"/>
      <c r="D97" s="4"/>
      <c r="E97" s="4"/>
      <c r="F97" s="4"/>
      <c r="G97" s="4"/>
      <c r="H97" s="4"/>
    </row>
  </sheetData>
  <pageMargins left="0.31496062992125984" right="0.11811023622047245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8939F-E19F-43A4-868E-F0BEC0E9FE30}">
  <dimension ref="A1:U98"/>
  <sheetViews>
    <sheetView showGridLines="0" topLeftCell="A22" workbookViewId="0">
      <selection activeCell="J26" sqref="J26"/>
    </sheetView>
  </sheetViews>
  <sheetFormatPr baseColWidth="10" defaultColWidth="8.83203125" defaultRowHeight="15" x14ac:dyDescent="0.2"/>
  <cols>
    <col min="1" max="1" width="50.6640625" customWidth="1"/>
    <col min="2" max="2" width="9.33203125" customWidth="1"/>
    <col min="3" max="3" width="9.6640625" customWidth="1"/>
    <col min="4" max="4" width="9.5" customWidth="1"/>
    <col min="5" max="5" width="13" customWidth="1"/>
    <col min="6" max="6" width="4.1640625" customWidth="1"/>
    <col min="16" max="16" width="39.5" customWidth="1"/>
    <col min="17" max="17" width="11.1640625" customWidth="1"/>
    <col min="18" max="18" width="10.1640625" customWidth="1"/>
    <col min="19" max="19" width="12.5" customWidth="1"/>
    <col min="21" max="21" width="24.6640625" customWidth="1"/>
  </cols>
  <sheetData>
    <row r="1" spans="1:21" x14ac:dyDescent="0.2">
      <c r="A1" s="40" t="s">
        <v>49</v>
      </c>
      <c r="B1" s="40"/>
      <c r="C1" s="4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0" t="s">
        <v>129</v>
      </c>
      <c r="Q1" s="40"/>
      <c r="R1" s="5"/>
      <c r="S1" s="5"/>
      <c r="T1" s="5"/>
      <c r="U1" s="5"/>
    </row>
    <row r="2" spans="1:21" ht="16" thickBot="1" x14ac:dyDescent="0.25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46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81" t="s">
        <v>149</v>
      </c>
      <c r="R3" s="282"/>
      <c r="S3" s="283"/>
      <c r="T3" s="5"/>
      <c r="U3" s="5"/>
    </row>
    <row r="4" spans="1:21" ht="44.25" customHeight="1" thickBot="1" x14ac:dyDescent="0.25">
      <c r="A4" s="5"/>
      <c r="B4" s="279" t="s">
        <v>156</v>
      </c>
      <c r="C4" s="280"/>
      <c r="D4" s="277" t="s">
        <v>157</v>
      </c>
      <c r="E4" s="27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1" t="s">
        <v>113</v>
      </c>
      <c r="R4" s="42" t="s">
        <v>114</v>
      </c>
      <c r="S4" s="43" t="s">
        <v>115</v>
      </c>
      <c r="T4" s="5"/>
      <c r="U4" s="5"/>
    </row>
    <row r="5" spans="1:21" ht="33" customHeight="1" thickBot="1" x14ac:dyDescent="0.25">
      <c r="A5" s="5"/>
      <c r="B5" s="44" t="s">
        <v>51</v>
      </c>
      <c r="C5" s="45">
        <v>6</v>
      </c>
      <c r="D5" s="46" t="s">
        <v>51</v>
      </c>
      <c r="E5" s="47" t="s">
        <v>52</v>
      </c>
      <c r="F5" s="5"/>
      <c r="G5" s="31"/>
      <c r="H5" s="31"/>
      <c r="I5" s="31"/>
      <c r="J5" s="31"/>
      <c r="K5" s="31"/>
      <c r="L5" s="31"/>
      <c r="M5" s="31"/>
      <c r="N5" s="5"/>
      <c r="O5" s="5"/>
      <c r="P5" s="5"/>
      <c r="Q5" s="48" t="s">
        <v>130</v>
      </c>
      <c r="R5" s="49">
        <v>10</v>
      </c>
      <c r="S5" s="50">
        <v>10</v>
      </c>
      <c r="T5" s="5"/>
      <c r="U5" s="5"/>
    </row>
    <row r="6" spans="1:21" ht="33" thickBot="1" x14ac:dyDescent="0.25">
      <c r="A6" s="51" t="s">
        <v>158</v>
      </c>
      <c r="B6" s="52"/>
      <c r="C6" s="53">
        <f xml:space="preserve"> B6*C5</f>
        <v>0</v>
      </c>
      <c r="D6" s="54"/>
      <c r="E6" s="55">
        <f xml:space="preserve"> D6*12</f>
        <v>0</v>
      </c>
      <c r="F6" s="5" t="s">
        <v>1</v>
      </c>
      <c r="G6" s="31"/>
      <c r="H6" s="31"/>
      <c r="I6" s="31"/>
      <c r="J6" s="31"/>
      <c r="K6" s="31"/>
      <c r="L6" s="31"/>
      <c r="M6" s="31"/>
      <c r="N6" s="5"/>
      <c r="O6" s="5"/>
      <c r="P6" s="5"/>
      <c r="Q6" s="56" t="s">
        <v>131</v>
      </c>
      <c r="R6" s="57">
        <v>5</v>
      </c>
      <c r="S6" s="58">
        <v>5</v>
      </c>
      <c r="T6" s="5"/>
      <c r="U6" s="5"/>
    </row>
    <row r="7" spans="1:21" x14ac:dyDescent="0.2">
      <c r="A7" s="5" t="s">
        <v>53</v>
      </c>
      <c r="B7" s="59"/>
      <c r="C7" s="60">
        <f xml:space="preserve"> B7*C5</f>
        <v>0</v>
      </c>
      <c r="D7" s="61"/>
      <c r="E7" s="62">
        <f xml:space="preserve"> D7*12</f>
        <v>0</v>
      </c>
      <c r="F7" s="5" t="s">
        <v>1</v>
      </c>
      <c r="G7" s="31"/>
      <c r="H7" s="31"/>
      <c r="I7" s="31"/>
      <c r="J7" s="31"/>
      <c r="K7" s="31"/>
      <c r="L7" s="31"/>
      <c r="M7" s="31"/>
      <c r="N7" s="5"/>
      <c r="O7" s="5"/>
      <c r="P7" s="5"/>
      <c r="Q7" s="5"/>
      <c r="R7" s="5"/>
      <c r="S7" s="5"/>
      <c r="T7" s="5"/>
      <c r="U7" s="5"/>
    </row>
    <row r="8" spans="1:21" ht="16" thickBot="1" x14ac:dyDescent="0.25">
      <c r="A8" s="63" t="s">
        <v>54</v>
      </c>
      <c r="B8" s="64">
        <f>SUM(B6:B7)</f>
        <v>0</v>
      </c>
      <c r="C8" s="65">
        <f>SUM(C6:C7)</f>
        <v>0</v>
      </c>
      <c r="D8" s="66">
        <f>SUM(D6:D7)</f>
        <v>0</v>
      </c>
      <c r="E8" s="67">
        <f t="shared" ref="E8:E11" si="0" xml:space="preserve"> D8*12</f>
        <v>0</v>
      </c>
      <c r="F8" s="5" t="s">
        <v>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6" thickBot="1" x14ac:dyDescent="0.25">
      <c r="A9" s="5" t="s">
        <v>55</v>
      </c>
      <c r="B9" s="59"/>
      <c r="C9" s="60">
        <f xml:space="preserve"> B9*C5</f>
        <v>0</v>
      </c>
      <c r="D9" s="68"/>
      <c r="E9" s="62">
        <f t="shared" si="0"/>
        <v>0</v>
      </c>
      <c r="F9" s="5" t="s">
        <v>1</v>
      </c>
      <c r="G9" s="16" t="s">
        <v>123</v>
      </c>
      <c r="H9" s="17"/>
      <c r="I9" s="17"/>
      <c r="J9" s="17"/>
      <c r="K9" s="17"/>
      <c r="L9" s="18"/>
      <c r="M9" s="5"/>
      <c r="N9" s="5"/>
      <c r="O9" s="5"/>
      <c r="P9" s="5"/>
      <c r="Q9" s="5"/>
      <c r="R9" s="5"/>
      <c r="S9" s="5"/>
      <c r="T9" s="5"/>
      <c r="U9" s="5"/>
    </row>
    <row r="10" spans="1:21" x14ac:dyDescent="0.2">
      <c r="A10" s="63" t="s">
        <v>56</v>
      </c>
      <c r="B10" s="64">
        <f>SUM(B8:B9)</f>
        <v>0</v>
      </c>
      <c r="C10" s="65">
        <f>SUM(C8:C9)</f>
        <v>0</v>
      </c>
      <c r="D10" s="66">
        <f>SUM(D8:D9)</f>
        <v>0</v>
      </c>
      <c r="E10" s="67">
        <f t="shared" si="0"/>
        <v>0</v>
      </c>
      <c r="F10" s="5" t="s">
        <v>2</v>
      </c>
      <c r="G10" s="69" t="s">
        <v>128</v>
      </c>
      <c r="H10" s="70"/>
      <c r="I10" s="70"/>
      <c r="J10" s="70"/>
      <c r="K10" s="70"/>
      <c r="L10" s="71"/>
      <c r="M10" s="5"/>
      <c r="N10" s="5"/>
      <c r="O10" s="5"/>
      <c r="P10" s="72" t="s">
        <v>116</v>
      </c>
      <c r="Q10" s="73" t="s">
        <v>117</v>
      </c>
      <c r="R10" s="73" t="s">
        <v>118</v>
      </c>
      <c r="S10" s="74" t="s">
        <v>119</v>
      </c>
      <c r="T10" s="5"/>
      <c r="U10" s="5"/>
    </row>
    <row r="11" spans="1:21" ht="16" thickBot="1" x14ac:dyDescent="0.25">
      <c r="A11" s="5" t="s">
        <v>57</v>
      </c>
      <c r="B11" s="75"/>
      <c r="C11" s="76">
        <f xml:space="preserve"> B11*C5</f>
        <v>0</v>
      </c>
      <c r="D11" s="77"/>
      <c r="E11" s="78">
        <f t="shared" si="0"/>
        <v>0</v>
      </c>
      <c r="F11" s="5" t="s">
        <v>1</v>
      </c>
      <c r="G11" s="79" t="s">
        <v>124</v>
      </c>
      <c r="H11" s="21"/>
      <c r="I11" s="21"/>
      <c r="J11" s="21"/>
      <c r="K11" s="21"/>
      <c r="L11" s="22"/>
      <c r="M11" s="5"/>
      <c r="N11" s="5"/>
      <c r="O11" s="5"/>
      <c r="P11" s="80" t="s">
        <v>132</v>
      </c>
      <c r="Q11" s="60">
        <f xml:space="preserve"> E37</f>
        <v>0</v>
      </c>
      <c r="R11" s="60">
        <f xml:space="preserve"> R13+R12</f>
        <v>0</v>
      </c>
      <c r="S11" s="62">
        <f xml:space="preserve"> S13+S12</f>
        <v>0</v>
      </c>
      <c r="T11" s="5"/>
      <c r="U11" s="5"/>
    </row>
    <row r="12" spans="1:21" ht="16" thickBot="1" x14ac:dyDescent="0.25">
      <c r="A12" s="81" t="s">
        <v>58</v>
      </c>
      <c r="B12" s="82">
        <f>SUM(B10:B11)</f>
        <v>0</v>
      </c>
      <c r="C12" s="83">
        <f>SUM(C10:C11)</f>
        <v>0</v>
      </c>
      <c r="D12" s="84">
        <f xml:space="preserve"> D10+D11</f>
        <v>0</v>
      </c>
      <c r="E12" s="85">
        <f xml:space="preserve"> E10+E11</f>
        <v>0</v>
      </c>
      <c r="F12" s="5" t="s">
        <v>2</v>
      </c>
      <c r="G12" s="5"/>
      <c r="H12" s="5"/>
      <c r="I12" s="5"/>
      <c r="J12" s="5"/>
      <c r="K12" s="5"/>
      <c r="L12" s="5"/>
      <c r="M12" s="5"/>
      <c r="N12" s="5"/>
      <c r="O12" s="5"/>
      <c r="P12" s="86" t="s">
        <v>133</v>
      </c>
      <c r="Q12" s="76">
        <f xml:space="preserve"> E36</f>
        <v>0</v>
      </c>
      <c r="R12" s="76">
        <f xml:space="preserve"> R13*0.24</f>
        <v>0</v>
      </c>
      <c r="S12" s="78">
        <f xml:space="preserve"> S13*0.24</f>
        <v>0</v>
      </c>
      <c r="T12" s="5"/>
      <c r="U12" s="5"/>
    </row>
    <row r="13" spans="1:21" ht="16" thickBot="1" x14ac:dyDescent="0.25">
      <c r="A13" s="5"/>
      <c r="B13" s="87"/>
      <c r="C13" s="87"/>
      <c r="D13" s="87"/>
      <c r="E13" s="87"/>
      <c r="F13" s="5"/>
      <c r="G13" s="5"/>
      <c r="H13" s="5"/>
      <c r="I13" s="5"/>
      <c r="J13" s="5"/>
      <c r="K13" s="5"/>
      <c r="L13" s="5"/>
      <c r="M13" s="5"/>
      <c r="N13" s="5"/>
      <c r="O13" s="5"/>
      <c r="P13" s="88" t="s">
        <v>134</v>
      </c>
      <c r="Q13" s="89">
        <f xml:space="preserve"> Q11-Q12</f>
        <v>0</v>
      </c>
      <c r="R13" s="89">
        <f xml:space="preserve"> Q13+(Q13/100*R5)</f>
        <v>0</v>
      </c>
      <c r="S13" s="90">
        <f xml:space="preserve"> R13+(R13/100*S5)</f>
        <v>0</v>
      </c>
      <c r="T13" s="5"/>
      <c r="U13" s="5"/>
    </row>
    <row r="14" spans="1:21" ht="16" thickBot="1" x14ac:dyDescent="0.25">
      <c r="A14" s="40" t="s">
        <v>59</v>
      </c>
      <c r="B14" s="91"/>
      <c r="C14" s="91"/>
      <c r="D14" s="87"/>
      <c r="E14" s="87"/>
      <c r="F14" s="5"/>
      <c r="G14" s="5"/>
      <c r="H14" s="5"/>
      <c r="I14" s="5"/>
      <c r="J14" s="5"/>
      <c r="K14" s="5"/>
      <c r="L14" s="5"/>
      <c r="M14" s="5"/>
      <c r="N14" s="5"/>
      <c r="O14" s="5"/>
      <c r="P14" s="92" t="s">
        <v>135</v>
      </c>
      <c r="Q14" s="93">
        <f xml:space="preserve"> E34</f>
        <v>0</v>
      </c>
      <c r="R14" s="93">
        <f xml:space="preserve"> Q14+(Q14/100*R6)</f>
        <v>0</v>
      </c>
      <c r="S14" s="94">
        <f xml:space="preserve"> R14+(R14/100*S6)</f>
        <v>0</v>
      </c>
      <c r="T14" s="5"/>
      <c r="U14" s="5"/>
    </row>
    <row r="15" spans="1:21" x14ac:dyDescent="0.2">
      <c r="A15" s="95" t="s">
        <v>60</v>
      </c>
      <c r="B15" s="96"/>
      <c r="C15" s="97">
        <f xml:space="preserve"> B15*C5</f>
        <v>0</v>
      </c>
      <c r="D15" s="98"/>
      <c r="E15" s="99">
        <f xml:space="preserve"> D15*12</f>
        <v>0</v>
      </c>
      <c r="F15" s="5" t="s">
        <v>1</v>
      </c>
      <c r="G15" s="16" t="s">
        <v>125</v>
      </c>
      <c r="H15" s="17"/>
      <c r="I15" s="17"/>
      <c r="J15" s="17"/>
      <c r="K15" s="17"/>
      <c r="L15" s="17"/>
      <c r="M15" s="18"/>
      <c r="N15" s="5"/>
      <c r="O15" s="5"/>
      <c r="P15" s="80" t="s">
        <v>136</v>
      </c>
      <c r="Q15" s="60">
        <f xml:space="preserve"> E17+E18</f>
        <v>0</v>
      </c>
      <c r="R15" s="60">
        <f xml:space="preserve"> Q15+(Q15/100*R6)</f>
        <v>0</v>
      </c>
      <c r="S15" s="62">
        <f xml:space="preserve"> R15+(R15/100*S6)</f>
        <v>0</v>
      </c>
      <c r="T15" s="5"/>
      <c r="U15" s="5"/>
    </row>
    <row r="16" spans="1:21" x14ac:dyDescent="0.2">
      <c r="A16" s="100" t="s">
        <v>61</v>
      </c>
      <c r="B16" s="59"/>
      <c r="C16" s="60">
        <f xml:space="preserve"> B16*C5</f>
        <v>0</v>
      </c>
      <c r="D16" s="61"/>
      <c r="E16" s="62">
        <f t="shared" ref="E16:E30" si="1" xml:space="preserve"> D16*12</f>
        <v>0</v>
      </c>
      <c r="F16" s="5" t="s">
        <v>1</v>
      </c>
      <c r="G16" s="69" t="s">
        <v>126</v>
      </c>
      <c r="H16" s="70"/>
      <c r="I16" s="70"/>
      <c r="J16" s="70"/>
      <c r="K16" s="70"/>
      <c r="L16" s="70"/>
      <c r="M16" s="71"/>
      <c r="N16" s="5"/>
      <c r="O16" s="5"/>
      <c r="P16" s="80" t="s">
        <v>137</v>
      </c>
      <c r="Q16" s="60">
        <f xml:space="preserve"> E19</f>
        <v>0</v>
      </c>
      <c r="R16" s="60">
        <f xml:space="preserve"> Q16+(Q16/100*R6)</f>
        <v>0</v>
      </c>
      <c r="S16" s="62">
        <f xml:space="preserve"> R16+(R16/100*S6)</f>
        <v>0</v>
      </c>
      <c r="T16" s="5"/>
      <c r="U16" s="5"/>
    </row>
    <row r="17" spans="1:21" x14ac:dyDescent="0.2">
      <c r="A17" s="100" t="s">
        <v>62</v>
      </c>
      <c r="B17" s="59"/>
      <c r="C17" s="60">
        <f xml:space="preserve"> B17*C5</f>
        <v>0</v>
      </c>
      <c r="D17" s="61"/>
      <c r="E17" s="62">
        <f t="shared" si="1"/>
        <v>0</v>
      </c>
      <c r="F17" s="5" t="s">
        <v>1</v>
      </c>
      <c r="G17" s="69" t="s">
        <v>155</v>
      </c>
      <c r="H17" s="70"/>
      <c r="I17" s="70"/>
      <c r="J17" s="70"/>
      <c r="K17" s="70"/>
      <c r="L17" s="70"/>
      <c r="M17" s="71"/>
      <c r="N17" s="5"/>
      <c r="O17" s="5"/>
      <c r="P17" s="80" t="s">
        <v>138</v>
      </c>
      <c r="Q17" s="60">
        <f xml:space="preserve"> E21</f>
        <v>0</v>
      </c>
      <c r="R17" s="60">
        <f xml:space="preserve"> Q17+(Q17/100*R6)</f>
        <v>0</v>
      </c>
      <c r="S17" s="62">
        <f xml:space="preserve"> R17+(R17/100*S6)</f>
        <v>0</v>
      </c>
      <c r="T17" s="5"/>
      <c r="U17" s="5"/>
    </row>
    <row r="18" spans="1:21" ht="16" thickBot="1" x14ac:dyDescent="0.25">
      <c r="A18" s="100" t="s">
        <v>63</v>
      </c>
      <c r="B18" s="59"/>
      <c r="C18" s="60">
        <f xml:space="preserve"> B18*C5</f>
        <v>0</v>
      </c>
      <c r="D18" s="61"/>
      <c r="E18" s="62">
        <f t="shared" si="1"/>
        <v>0</v>
      </c>
      <c r="F18" s="5" t="s">
        <v>1</v>
      </c>
      <c r="G18" s="79" t="s">
        <v>127</v>
      </c>
      <c r="H18" s="21"/>
      <c r="I18" s="21"/>
      <c r="J18" s="21"/>
      <c r="K18" s="21"/>
      <c r="L18" s="21"/>
      <c r="M18" s="22"/>
      <c r="N18" s="5"/>
      <c r="O18" s="5"/>
      <c r="P18" s="86" t="s">
        <v>139</v>
      </c>
      <c r="Q18" s="76">
        <f xml:space="preserve"> E15+E16+E20+E22+E23+E24+E25+E26+E27+E28+E29+E30</f>
        <v>0</v>
      </c>
      <c r="R18" s="76">
        <f xml:space="preserve"> Q18+(Q18/100*R6)</f>
        <v>0</v>
      </c>
      <c r="S18" s="78">
        <f xml:space="preserve"> R18+(R18/100*S6)</f>
        <v>0</v>
      </c>
      <c r="T18" s="5"/>
      <c r="U18" s="5"/>
    </row>
    <row r="19" spans="1:21" ht="16" thickBot="1" x14ac:dyDescent="0.25">
      <c r="A19" s="100" t="s">
        <v>64</v>
      </c>
      <c r="B19" s="59"/>
      <c r="C19" s="60">
        <f xml:space="preserve"> B19*C5</f>
        <v>0</v>
      </c>
      <c r="D19" s="61"/>
      <c r="E19" s="62">
        <f t="shared" si="1"/>
        <v>0</v>
      </c>
      <c r="F19" s="5" t="s">
        <v>1</v>
      </c>
      <c r="G19" s="5"/>
      <c r="H19" s="5"/>
      <c r="I19" s="5"/>
      <c r="J19" s="5"/>
      <c r="K19" s="5"/>
      <c r="L19" s="5"/>
      <c r="M19" s="5"/>
      <c r="N19" s="5"/>
      <c r="O19" s="5"/>
      <c r="P19" s="88" t="s">
        <v>140</v>
      </c>
      <c r="Q19" s="89">
        <f xml:space="preserve"> Q13-Q14-Q15-Q16-Q17-Q18</f>
        <v>0</v>
      </c>
      <c r="R19" s="89">
        <f xml:space="preserve"> R13-R14-R15-R16-R17-R18</f>
        <v>0</v>
      </c>
      <c r="S19" s="90">
        <f xml:space="preserve"> S13-S14-S15-S16-S17-S18</f>
        <v>0</v>
      </c>
      <c r="T19" s="5"/>
      <c r="U19" s="5"/>
    </row>
    <row r="20" spans="1:21" x14ac:dyDescent="0.2">
      <c r="A20" s="100" t="s">
        <v>65</v>
      </c>
      <c r="B20" s="59"/>
      <c r="C20" s="60">
        <f xml:space="preserve"> B20*C5</f>
        <v>0</v>
      </c>
      <c r="D20" s="61"/>
      <c r="E20" s="62">
        <f t="shared" si="1"/>
        <v>0</v>
      </c>
      <c r="F20" s="5" t="s">
        <v>1</v>
      </c>
      <c r="G20" s="5"/>
      <c r="H20" s="5"/>
      <c r="I20" s="5"/>
      <c r="J20" s="5"/>
      <c r="K20" s="5"/>
      <c r="L20" s="5"/>
      <c r="M20" s="5"/>
      <c r="N20" s="5"/>
      <c r="O20" s="5"/>
      <c r="P20" s="92" t="s">
        <v>141</v>
      </c>
      <c r="Q20" s="93">
        <f xml:space="preserve"> E7+E11</f>
        <v>0</v>
      </c>
      <c r="R20" s="93">
        <f xml:space="preserve"> Q20</f>
        <v>0</v>
      </c>
      <c r="S20" s="94">
        <f xml:space="preserve"> R20</f>
        <v>0</v>
      </c>
      <c r="T20" s="5"/>
      <c r="U20" s="5"/>
    </row>
    <row r="21" spans="1:21" ht="16" thickBot="1" x14ac:dyDescent="0.25">
      <c r="A21" s="100" t="s">
        <v>66</v>
      </c>
      <c r="B21" s="59"/>
      <c r="C21" s="60">
        <f xml:space="preserve"> B21*C5</f>
        <v>0</v>
      </c>
      <c r="D21" s="61"/>
      <c r="E21" s="62">
        <f t="shared" si="1"/>
        <v>0</v>
      </c>
      <c r="F21" s="5" t="s">
        <v>1</v>
      </c>
      <c r="G21" s="5"/>
      <c r="H21" s="5"/>
      <c r="I21" s="5"/>
      <c r="J21" s="5"/>
      <c r="K21" s="5"/>
      <c r="L21" s="5"/>
      <c r="M21" s="5"/>
      <c r="N21" s="5"/>
      <c r="O21" s="5"/>
      <c r="P21" s="86" t="s">
        <v>142</v>
      </c>
      <c r="Q21" s="76">
        <f xml:space="preserve"> E9</f>
        <v>0</v>
      </c>
      <c r="R21" s="76">
        <f xml:space="preserve"> Q21+(Q21/100*R6)</f>
        <v>0</v>
      </c>
      <c r="S21" s="78">
        <f xml:space="preserve"> R21+(R21/100*S6)</f>
        <v>0</v>
      </c>
      <c r="T21" s="5"/>
      <c r="U21" s="5"/>
    </row>
    <row r="22" spans="1:21" ht="16" thickBot="1" x14ac:dyDescent="0.25">
      <c r="A22" s="100" t="s">
        <v>67</v>
      </c>
      <c r="B22" s="59"/>
      <c r="C22" s="60">
        <f xml:space="preserve"> B22*C5</f>
        <v>0</v>
      </c>
      <c r="D22" s="61"/>
      <c r="E22" s="62">
        <f t="shared" si="1"/>
        <v>0</v>
      </c>
      <c r="F22" s="5" t="s">
        <v>1</v>
      </c>
      <c r="G22" s="5"/>
      <c r="H22" s="5"/>
      <c r="I22" s="5"/>
      <c r="J22" s="5"/>
      <c r="K22" s="5"/>
      <c r="L22" s="5"/>
      <c r="M22" s="5"/>
      <c r="N22" s="5"/>
      <c r="O22" s="5"/>
      <c r="P22" s="88" t="s">
        <v>143</v>
      </c>
      <c r="Q22" s="89">
        <f xml:space="preserve"> Q19-Q20-Q21</f>
        <v>0</v>
      </c>
      <c r="R22" s="89">
        <f xml:space="preserve"> R19-R20-R21</f>
        <v>0</v>
      </c>
      <c r="S22" s="90">
        <f xml:space="preserve"> S19-S20-S21</f>
        <v>0</v>
      </c>
      <c r="T22" s="5"/>
      <c r="U22" s="5"/>
    </row>
    <row r="23" spans="1:21" ht="16" thickBot="1" x14ac:dyDescent="0.25">
      <c r="A23" s="100" t="s">
        <v>68</v>
      </c>
      <c r="B23" s="59"/>
      <c r="C23" s="60">
        <f xml:space="preserve"> B23*C5</f>
        <v>0</v>
      </c>
      <c r="D23" s="61"/>
      <c r="E23" s="62">
        <f t="shared" si="1"/>
        <v>0</v>
      </c>
      <c r="F23" s="5" t="s">
        <v>1</v>
      </c>
      <c r="G23" s="5"/>
      <c r="H23" s="5"/>
      <c r="I23" s="5"/>
      <c r="J23" s="5"/>
      <c r="K23" s="5"/>
      <c r="L23" s="5"/>
      <c r="M23" s="5"/>
      <c r="N23" s="5"/>
      <c r="O23" s="5"/>
      <c r="P23" s="101" t="s">
        <v>144</v>
      </c>
      <c r="Q23" s="102"/>
      <c r="R23" s="102"/>
      <c r="S23" s="103"/>
      <c r="T23" s="5"/>
      <c r="U23" s="5"/>
    </row>
    <row r="24" spans="1:21" ht="16" thickBot="1" x14ac:dyDescent="0.25">
      <c r="A24" s="100" t="s">
        <v>69</v>
      </c>
      <c r="B24" s="59"/>
      <c r="C24" s="60">
        <f xml:space="preserve"> B24*C5</f>
        <v>0</v>
      </c>
      <c r="D24" s="61"/>
      <c r="E24" s="62">
        <f t="shared" si="1"/>
        <v>0</v>
      </c>
      <c r="F24" s="5" t="s">
        <v>1</v>
      </c>
      <c r="G24" s="5"/>
      <c r="H24" s="5"/>
      <c r="I24" s="5"/>
      <c r="J24" s="5"/>
      <c r="K24" s="5"/>
      <c r="L24" s="5"/>
      <c r="M24" s="5"/>
      <c r="N24" s="5"/>
      <c r="O24" s="5"/>
      <c r="P24" s="88" t="s">
        <v>145</v>
      </c>
      <c r="Q24" s="89">
        <f xml:space="preserve"> Q22-Q23</f>
        <v>0</v>
      </c>
      <c r="R24" s="89">
        <f xml:space="preserve"> R22-R23</f>
        <v>0</v>
      </c>
      <c r="S24" s="90">
        <f xml:space="preserve"> S22-S23</f>
        <v>0</v>
      </c>
      <c r="T24" s="5"/>
      <c r="U24" s="5"/>
    </row>
    <row r="25" spans="1:21" x14ac:dyDescent="0.2">
      <c r="A25" s="100" t="s">
        <v>70</v>
      </c>
      <c r="B25" s="59"/>
      <c r="C25" s="60">
        <f xml:space="preserve"> B25*C5</f>
        <v>0</v>
      </c>
      <c r="D25" s="61"/>
      <c r="E25" s="62">
        <f t="shared" si="1"/>
        <v>0</v>
      </c>
      <c r="F25" s="5" t="s">
        <v>1</v>
      </c>
      <c r="G25" s="5"/>
      <c r="H25" s="5"/>
      <c r="I25" s="5"/>
      <c r="J25" s="5"/>
      <c r="K25" s="5"/>
      <c r="L25" s="5"/>
      <c r="M25" s="5"/>
      <c r="N25" s="5"/>
      <c r="O25" s="5"/>
      <c r="P25" s="92" t="s">
        <v>146</v>
      </c>
      <c r="Q25" s="93"/>
      <c r="R25" s="93"/>
      <c r="S25" s="94"/>
      <c r="T25" s="5"/>
      <c r="U25" s="5"/>
    </row>
    <row r="26" spans="1:21" ht="16" thickBot="1" x14ac:dyDescent="0.25">
      <c r="A26" s="100" t="s">
        <v>71</v>
      </c>
      <c r="B26" s="59"/>
      <c r="C26" s="60">
        <f xml:space="preserve"> B26*C5</f>
        <v>0</v>
      </c>
      <c r="D26" s="61"/>
      <c r="E26" s="62">
        <f t="shared" si="1"/>
        <v>0</v>
      </c>
      <c r="F26" s="5" t="s">
        <v>1</v>
      </c>
      <c r="G26" s="5"/>
      <c r="H26" s="5"/>
      <c r="I26" s="5"/>
      <c r="J26" s="5"/>
      <c r="K26" s="5"/>
      <c r="L26" s="5"/>
      <c r="M26" s="5"/>
      <c r="N26" s="5"/>
      <c r="O26" s="5"/>
      <c r="P26" s="104" t="s">
        <v>147</v>
      </c>
      <c r="Q26" s="105">
        <f xml:space="preserve"> Q24-Q25</f>
        <v>0</v>
      </c>
      <c r="R26" s="105">
        <f xml:space="preserve"> R24-R25</f>
        <v>0</v>
      </c>
      <c r="S26" s="106">
        <f xml:space="preserve"> S24-S25</f>
        <v>0</v>
      </c>
      <c r="T26" s="5"/>
      <c r="U26" s="5"/>
    </row>
    <row r="27" spans="1:21" x14ac:dyDescent="0.2">
      <c r="A27" s="100" t="s">
        <v>72</v>
      </c>
      <c r="B27" s="59"/>
      <c r="C27" s="60">
        <f xml:space="preserve"> B27*C5</f>
        <v>0</v>
      </c>
      <c r="D27" s="61"/>
      <c r="E27" s="62">
        <f t="shared" si="1"/>
        <v>0</v>
      </c>
      <c r="F27" s="5" t="s">
        <v>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x14ac:dyDescent="0.2">
      <c r="A28" s="100" t="s">
        <v>73</v>
      </c>
      <c r="B28" s="59"/>
      <c r="C28" s="60">
        <f xml:space="preserve"> B28*C5</f>
        <v>0</v>
      </c>
      <c r="D28" s="61"/>
      <c r="E28" s="62">
        <f t="shared" si="1"/>
        <v>0</v>
      </c>
      <c r="F28" s="5" t="s">
        <v>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x14ac:dyDescent="0.2">
      <c r="A29" s="100" t="s">
        <v>74</v>
      </c>
      <c r="B29" s="59"/>
      <c r="C29" s="60">
        <f xml:space="preserve"> B29*C5</f>
        <v>0</v>
      </c>
      <c r="D29" s="61"/>
      <c r="E29" s="62">
        <f t="shared" si="1"/>
        <v>0</v>
      </c>
      <c r="F29" s="5" t="s">
        <v>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6" thickBot="1" x14ac:dyDescent="0.25">
      <c r="A30" s="100" t="s">
        <v>75</v>
      </c>
      <c r="B30" s="75"/>
      <c r="C30" s="76">
        <f xml:space="preserve"> B30*C5</f>
        <v>0</v>
      </c>
      <c r="D30" s="77"/>
      <c r="E30" s="78">
        <f t="shared" si="1"/>
        <v>0</v>
      </c>
      <c r="F30" s="5" t="s">
        <v>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6" thickBot="1" x14ac:dyDescent="0.25">
      <c r="A31" s="81" t="s">
        <v>76</v>
      </c>
      <c r="B31" s="82">
        <f>SUM(B15:B30)</f>
        <v>0</v>
      </c>
      <c r="C31" s="83">
        <f>SUM(C15:C30)</f>
        <v>0</v>
      </c>
      <c r="D31" s="84">
        <f>SUM(D15:D30)</f>
        <v>0</v>
      </c>
      <c r="E31" s="85">
        <f>SUM(E15:E30)</f>
        <v>0</v>
      </c>
      <c r="F31" s="5" t="s">
        <v>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6" thickBot="1" x14ac:dyDescent="0.25">
      <c r="A32" s="5"/>
      <c r="B32" s="87"/>
      <c r="C32" s="87"/>
      <c r="D32" s="87"/>
      <c r="E32" s="8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2">
      <c r="A33" s="63" t="s">
        <v>77</v>
      </c>
      <c r="B33" s="107">
        <f xml:space="preserve"> B12+B31</f>
        <v>0</v>
      </c>
      <c r="C33" s="108">
        <f xml:space="preserve"> C12+C31</f>
        <v>0</v>
      </c>
      <c r="D33" s="109">
        <f xml:space="preserve"> D12+D31</f>
        <v>0</v>
      </c>
      <c r="E33" s="108">
        <f xml:space="preserve"> E12+E31</f>
        <v>0</v>
      </c>
      <c r="F33" s="5" t="s">
        <v>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x14ac:dyDescent="0.2">
      <c r="A34" s="110" t="s">
        <v>78</v>
      </c>
      <c r="B34" s="111"/>
      <c r="C34" s="62">
        <f xml:space="preserve"> B34*C5</f>
        <v>0</v>
      </c>
      <c r="D34" s="61"/>
      <c r="E34" s="62">
        <f xml:space="preserve"> D34*12</f>
        <v>0</v>
      </c>
      <c r="F34" s="5" t="s">
        <v>1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x14ac:dyDescent="0.2">
      <c r="A35" s="63" t="s">
        <v>79</v>
      </c>
      <c r="B35" s="64">
        <f>SUM(B33:B34)</f>
        <v>0</v>
      </c>
      <c r="C35" s="67">
        <f>SUM(C33:C34)</f>
        <v>0</v>
      </c>
      <c r="D35" s="66">
        <f>SUM(D33:D34)</f>
        <v>0</v>
      </c>
      <c r="E35" s="67">
        <f xml:space="preserve"> E33+E34</f>
        <v>0</v>
      </c>
      <c r="F35" s="5" t="s">
        <v>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2">
      <c r="A36" s="110" t="s">
        <v>80</v>
      </c>
      <c r="B36" s="59">
        <f xml:space="preserve"> B35/100*24</f>
        <v>0</v>
      </c>
      <c r="C36" s="62">
        <f xml:space="preserve"> C35/100*24</f>
        <v>0</v>
      </c>
      <c r="D36" s="61">
        <f xml:space="preserve"> D35/100*24</f>
        <v>0</v>
      </c>
      <c r="E36" s="62">
        <f xml:space="preserve"> E35/100*24</f>
        <v>0</v>
      </c>
      <c r="F36" s="5" t="s">
        <v>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6" thickBot="1" x14ac:dyDescent="0.25">
      <c r="A37" s="63" t="s">
        <v>81</v>
      </c>
      <c r="B37" s="112">
        <f>SUM(B35:B36)</f>
        <v>0</v>
      </c>
      <c r="C37" s="113">
        <f>SUM(C35:C36)</f>
        <v>0</v>
      </c>
      <c r="D37" s="114">
        <f>SUM(D35:D36)</f>
        <v>0</v>
      </c>
      <c r="E37" s="113">
        <f>SUM(E35:E36)</f>
        <v>0</v>
      </c>
      <c r="F37" s="5" t="s">
        <v>2</v>
      </c>
      <c r="G37" s="5"/>
      <c r="H37" s="5"/>
      <c r="I37" s="5"/>
      <c r="J37" s="5"/>
      <c r="K37" s="5"/>
      <c r="L37" s="5"/>
      <c r="M37" s="5"/>
      <c r="N37" s="5"/>
      <c r="O37" s="5"/>
      <c r="P37" s="5" t="s">
        <v>6</v>
      </c>
      <c r="Q37" s="5"/>
      <c r="R37" s="5"/>
      <c r="S37" s="5"/>
      <c r="T37" s="5"/>
      <c r="U37" s="5"/>
    </row>
    <row r="38" spans="1:21" x14ac:dyDescent="0.2">
      <c r="A38" s="40"/>
      <c r="B38" s="40"/>
      <c r="C38" s="40"/>
      <c r="D38" s="40"/>
      <c r="E38" s="40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6" thickBo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33" thickBot="1" x14ac:dyDescent="0.25">
      <c r="A40" s="40" t="s">
        <v>82</v>
      </c>
      <c r="B40" s="81"/>
      <c r="C40" s="115" t="s">
        <v>83</v>
      </c>
      <c r="D40" s="115" t="s">
        <v>83</v>
      </c>
      <c r="E40" s="116" t="s">
        <v>84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6" thickBot="1" x14ac:dyDescent="0.25">
      <c r="A41" s="40"/>
      <c r="B41" s="40"/>
      <c r="C41" s="117">
        <f xml:space="preserve"> C35</f>
        <v>0</v>
      </c>
      <c r="D41" s="118">
        <f xml:space="preserve"> E35</f>
        <v>0</v>
      </c>
      <c r="E41" s="119">
        <f xml:space="preserve"> E37</f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x14ac:dyDescent="0.2">
      <c r="A42" s="40" t="s">
        <v>112</v>
      </c>
      <c r="B42" s="40"/>
      <c r="C42" s="120">
        <f xml:space="preserve"> C41/11</f>
        <v>0</v>
      </c>
      <c r="D42" s="121">
        <f xml:space="preserve"> D41/11</f>
        <v>0</v>
      </c>
      <c r="E42" s="122">
        <f xml:space="preserve"> E41/11</f>
        <v>0</v>
      </c>
      <c r="F42" s="5" t="s">
        <v>3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x14ac:dyDescent="0.2">
      <c r="A43" s="40" t="s">
        <v>85</v>
      </c>
      <c r="B43" s="40"/>
      <c r="C43" s="123">
        <f xml:space="preserve"> C42/20</f>
        <v>0</v>
      </c>
      <c r="D43" s="124">
        <f xml:space="preserve"> D42/20</f>
        <v>0</v>
      </c>
      <c r="E43" s="125">
        <f xml:space="preserve"> E42/20</f>
        <v>0</v>
      </c>
      <c r="F43" s="5" t="s">
        <v>4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6" thickBot="1" x14ac:dyDescent="0.25">
      <c r="A44" s="40" t="s">
        <v>86</v>
      </c>
      <c r="B44" s="40"/>
      <c r="C44" s="126">
        <f xml:space="preserve"> C43/8</f>
        <v>0</v>
      </c>
      <c r="D44" s="127">
        <f xml:space="preserve"> D43/8</f>
        <v>0</v>
      </c>
      <c r="E44" s="128">
        <f xml:space="preserve"> E43/8</f>
        <v>0</v>
      </c>
      <c r="F44" s="5" t="s">
        <v>5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x14ac:dyDescent="0.2">
      <c r="A46" s="5"/>
      <c r="B46" s="129" t="s">
        <v>151</v>
      </c>
      <c r="C46" s="129"/>
      <c r="D46" s="129"/>
      <c r="E46" s="130"/>
      <c r="F46" s="130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x14ac:dyDescent="0.2">
      <c r="A47" s="5" t="s">
        <v>6</v>
      </c>
      <c r="B47" s="129" t="s">
        <v>152</v>
      </c>
      <c r="C47" s="129"/>
      <c r="D47" s="129"/>
      <c r="E47" s="130"/>
      <c r="F47" s="130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x14ac:dyDescent="0.2">
      <c r="A49" s="40"/>
      <c r="B49" s="40"/>
      <c r="C49" s="4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x14ac:dyDescent="0.2">
      <c r="A50" s="2"/>
      <c r="B50" s="2"/>
      <c r="C50" s="2"/>
      <c r="D50" s="2"/>
      <c r="E50" s="2"/>
      <c r="F50" s="2"/>
      <c r="G50" s="2"/>
      <c r="H50" s="2"/>
    </row>
    <row r="51" spans="1:21" x14ac:dyDescent="0.2">
      <c r="A51" s="3"/>
      <c r="B51" s="3"/>
      <c r="C51" s="3"/>
      <c r="D51" s="2"/>
      <c r="E51" s="2"/>
      <c r="F51" s="2"/>
      <c r="G51" s="2"/>
      <c r="H51" s="2"/>
    </row>
    <row r="52" spans="1:21" x14ac:dyDescent="0.2">
      <c r="A52" s="2"/>
      <c r="B52" s="2"/>
      <c r="C52" s="2"/>
      <c r="D52" s="2"/>
      <c r="E52" s="2"/>
      <c r="F52" s="2"/>
      <c r="G52" s="2"/>
      <c r="H52" s="2"/>
    </row>
    <row r="53" spans="1:21" x14ac:dyDescent="0.2">
      <c r="A53" s="2"/>
      <c r="B53" s="2"/>
      <c r="C53" s="2"/>
      <c r="D53" s="2"/>
      <c r="E53" s="2"/>
      <c r="F53" s="2"/>
      <c r="G53" s="2"/>
      <c r="H53" s="2"/>
    </row>
    <row r="54" spans="1:21" x14ac:dyDescent="0.2">
      <c r="A54" s="2"/>
      <c r="B54" s="2"/>
      <c r="C54" s="2"/>
      <c r="D54" s="2"/>
      <c r="E54" s="2"/>
      <c r="F54" s="2"/>
      <c r="G54" s="2"/>
      <c r="H54" s="2"/>
    </row>
    <row r="55" spans="1:21" x14ac:dyDescent="0.2">
      <c r="A55" s="2"/>
      <c r="B55" s="2"/>
      <c r="C55" s="2"/>
      <c r="D55" s="2"/>
      <c r="E55" s="2"/>
      <c r="F55" s="2"/>
      <c r="G55" s="2"/>
      <c r="H55" s="2"/>
    </row>
    <row r="56" spans="1:21" x14ac:dyDescent="0.2">
      <c r="A56" s="3"/>
      <c r="B56" s="3"/>
      <c r="C56" s="3"/>
      <c r="D56" s="2"/>
      <c r="E56" s="2"/>
      <c r="F56" s="2"/>
      <c r="G56" s="2"/>
      <c r="H56" s="2"/>
    </row>
    <row r="57" spans="1:21" x14ac:dyDescent="0.2">
      <c r="A57" s="2"/>
      <c r="B57" s="2"/>
      <c r="C57" s="2"/>
      <c r="D57" s="2"/>
      <c r="E57" s="2"/>
      <c r="F57" s="2"/>
      <c r="G57" s="2"/>
      <c r="H57" s="2"/>
    </row>
    <row r="58" spans="1:21" x14ac:dyDescent="0.2">
      <c r="A58" s="2"/>
      <c r="B58" s="2"/>
      <c r="C58" s="2"/>
      <c r="D58" s="2"/>
      <c r="E58" s="2"/>
      <c r="F58" s="2"/>
      <c r="G58" s="2"/>
      <c r="H58" s="2"/>
    </row>
    <row r="59" spans="1:21" x14ac:dyDescent="0.2">
      <c r="A59" s="2"/>
      <c r="B59" s="2"/>
      <c r="C59" s="2"/>
      <c r="D59" s="2"/>
      <c r="E59" s="2"/>
      <c r="F59" s="2"/>
      <c r="G59" s="2"/>
      <c r="H59" s="2"/>
    </row>
    <row r="60" spans="1:21" x14ac:dyDescent="0.2">
      <c r="A60" s="2"/>
      <c r="B60" s="2"/>
      <c r="C60" s="2"/>
      <c r="D60" s="2"/>
      <c r="E60" s="2"/>
      <c r="F60" s="2"/>
      <c r="G60" s="2"/>
      <c r="H60" s="2"/>
    </row>
    <row r="61" spans="1:21" x14ac:dyDescent="0.2">
      <c r="A61" s="3"/>
      <c r="B61" s="3"/>
      <c r="C61" s="3"/>
      <c r="D61" s="2"/>
      <c r="E61" s="2"/>
      <c r="F61" s="2"/>
      <c r="G61" s="2"/>
      <c r="H61" s="2"/>
    </row>
    <row r="62" spans="1:21" x14ac:dyDescent="0.2">
      <c r="A62" s="2"/>
      <c r="B62" s="2"/>
      <c r="C62" s="2"/>
      <c r="D62" s="2"/>
      <c r="E62" s="2"/>
      <c r="F62" s="2"/>
      <c r="G62" s="2"/>
      <c r="H62" s="2"/>
    </row>
    <row r="63" spans="1:21" x14ac:dyDescent="0.2">
      <c r="A63" s="2"/>
      <c r="B63" s="2"/>
      <c r="C63" s="2"/>
      <c r="D63" s="2"/>
      <c r="E63" s="2"/>
      <c r="F63" s="2"/>
      <c r="G63" s="2"/>
      <c r="H63" s="2"/>
    </row>
    <row r="64" spans="1:21" x14ac:dyDescent="0.2">
      <c r="A64" s="2"/>
      <c r="B64" s="2"/>
      <c r="C64" s="2"/>
      <c r="D64" s="2"/>
      <c r="E64" s="2"/>
      <c r="F64" s="2"/>
      <c r="G64" s="2"/>
      <c r="H64" s="2"/>
    </row>
    <row r="65" spans="1:8" x14ac:dyDescent="0.2">
      <c r="A65" s="2"/>
      <c r="B65" s="2"/>
      <c r="C65" s="2"/>
      <c r="D65" s="2"/>
      <c r="E65" s="2"/>
      <c r="F65" s="2"/>
      <c r="G65" s="2"/>
      <c r="H65" s="2"/>
    </row>
    <row r="66" spans="1:8" x14ac:dyDescent="0.2">
      <c r="A66" s="3"/>
      <c r="B66" s="3"/>
      <c r="C66" s="3"/>
      <c r="D66" s="2"/>
      <c r="E66" s="2"/>
      <c r="F66" s="2"/>
      <c r="G66" s="2"/>
      <c r="H66" s="2"/>
    </row>
    <row r="67" spans="1:8" x14ac:dyDescent="0.2">
      <c r="A67" s="2"/>
      <c r="B67" s="2"/>
      <c r="C67" s="2"/>
      <c r="D67" s="2"/>
      <c r="E67" s="2"/>
      <c r="F67" s="2"/>
      <c r="G67" s="2"/>
      <c r="H67" s="2"/>
    </row>
    <row r="68" spans="1:8" x14ac:dyDescent="0.2">
      <c r="A68" s="2"/>
      <c r="B68" s="2"/>
      <c r="C68" s="2"/>
      <c r="D68" s="2"/>
      <c r="E68" s="2"/>
      <c r="F68" s="2"/>
      <c r="G68" s="2"/>
      <c r="H68" s="2"/>
    </row>
    <row r="69" spans="1:8" x14ac:dyDescent="0.2">
      <c r="A69" s="2"/>
      <c r="B69" s="2"/>
      <c r="C69" s="2"/>
      <c r="D69" s="2"/>
      <c r="E69" s="2"/>
      <c r="F69" s="2"/>
      <c r="G69" s="2"/>
      <c r="H69" s="2"/>
    </row>
    <row r="70" spans="1:8" x14ac:dyDescent="0.2">
      <c r="A70" s="2"/>
      <c r="B70" s="2"/>
      <c r="C70" s="2"/>
      <c r="D70" s="2"/>
      <c r="E70" s="2"/>
      <c r="F70" s="2"/>
      <c r="G70" s="2"/>
      <c r="H70" s="2"/>
    </row>
    <row r="71" spans="1:8" x14ac:dyDescent="0.2">
      <c r="A71" s="3"/>
      <c r="B71" s="3"/>
      <c r="C71" s="3"/>
      <c r="D71" s="2"/>
      <c r="E71" s="2"/>
      <c r="F71" s="2"/>
      <c r="G71" s="2"/>
      <c r="H71" s="2"/>
    </row>
    <row r="72" spans="1:8" x14ac:dyDescent="0.2">
      <c r="A72" s="2"/>
      <c r="B72" s="2"/>
      <c r="C72" s="2"/>
      <c r="D72" s="2"/>
      <c r="E72" s="2"/>
      <c r="F72" s="2"/>
      <c r="G72" s="2"/>
      <c r="H72" s="2"/>
    </row>
    <row r="73" spans="1:8" x14ac:dyDescent="0.2">
      <c r="A73" s="2"/>
      <c r="B73" s="2"/>
      <c r="C73" s="2"/>
      <c r="D73" s="2"/>
      <c r="E73" s="2"/>
      <c r="F73" s="2"/>
      <c r="G73" s="2"/>
      <c r="H73" s="2"/>
    </row>
    <row r="74" spans="1:8" x14ac:dyDescent="0.2">
      <c r="A74" s="3"/>
      <c r="B74" s="3"/>
      <c r="C74" s="3"/>
      <c r="D74" s="2"/>
      <c r="E74" s="2"/>
      <c r="F74" s="2"/>
      <c r="G74" s="2"/>
      <c r="H74" s="2"/>
    </row>
    <row r="75" spans="1:8" x14ac:dyDescent="0.2">
      <c r="A75" s="2"/>
      <c r="B75" s="2"/>
      <c r="C75" s="2"/>
      <c r="D75" s="2"/>
      <c r="E75" s="2"/>
      <c r="F75" s="2"/>
      <c r="G75" s="2"/>
      <c r="H75" s="2"/>
    </row>
    <row r="76" spans="1:8" x14ac:dyDescent="0.2">
      <c r="A76" s="2"/>
      <c r="B76" s="2"/>
      <c r="C76" s="2"/>
      <c r="D76" s="2"/>
      <c r="E76" s="2"/>
      <c r="F76" s="2"/>
      <c r="G76" s="2"/>
      <c r="H76" s="2"/>
    </row>
    <row r="77" spans="1:8" x14ac:dyDescent="0.2">
      <c r="A77" s="3"/>
      <c r="B77" s="3"/>
      <c r="C77" s="3"/>
      <c r="D77" s="2"/>
      <c r="E77" s="2"/>
      <c r="F77" s="2"/>
      <c r="G77" s="2"/>
      <c r="H77" s="2"/>
    </row>
    <row r="78" spans="1:8" x14ac:dyDescent="0.2">
      <c r="A78" s="2"/>
      <c r="B78" s="2"/>
      <c r="C78" s="2"/>
      <c r="D78" s="2"/>
      <c r="E78" s="2"/>
      <c r="F78" s="2"/>
      <c r="G78" s="2"/>
      <c r="H78" s="2"/>
    </row>
    <row r="79" spans="1:8" x14ac:dyDescent="0.2">
      <c r="A79" s="2"/>
      <c r="B79" s="2"/>
      <c r="C79" s="2"/>
      <c r="D79" s="2"/>
      <c r="E79" s="2"/>
      <c r="F79" s="2"/>
      <c r="G79" s="2"/>
      <c r="H79" s="2"/>
    </row>
    <row r="80" spans="1:8" x14ac:dyDescent="0.2">
      <c r="A80" s="3"/>
      <c r="B80" s="3"/>
      <c r="C80" s="3"/>
      <c r="D80" s="2"/>
      <c r="E80" s="2"/>
      <c r="F80" s="2"/>
      <c r="G80" s="2"/>
      <c r="H80" s="2"/>
    </row>
    <row r="81" spans="1:8" x14ac:dyDescent="0.2">
      <c r="A81" s="2"/>
      <c r="B81" s="2"/>
      <c r="C81" s="2"/>
      <c r="D81" s="2"/>
      <c r="E81" s="2"/>
      <c r="F81" s="2"/>
      <c r="G81" s="2"/>
      <c r="H81" s="2"/>
    </row>
    <row r="82" spans="1:8" x14ac:dyDescent="0.2">
      <c r="A82" s="2"/>
      <c r="B82" s="2"/>
      <c r="C82" s="2"/>
      <c r="D82" s="2"/>
      <c r="E82" s="2"/>
      <c r="F82" s="2"/>
      <c r="G82" s="2"/>
      <c r="H82" s="2"/>
    </row>
    <row r="83" spans="1:8" x14ac:dyDescent="0.2">
      <c r="A83" s="3"/>
      <c r="B83" s="3"/>
      <c r="C83" s="3"/>
      <c r="D83" s="2"/>
      <c r="E83" s="2"/>
      <c r="F83" s="2"/>
      <c r="G83" s="2"/>
      <c r="H83" s="2"/>
    </row>
    <row r="84" spans="1:8" x14ac:dyDescent="0.2">
      <c r="A84" s="2"/>
      <c r="B84" s="2"/>
      <c r="C84" s="2"/>
      <c r="D84" s="2"/>
      <c r="E84" s="2"/>
      <c r="F84" s="2"/>
      <c r="G84" s="2"/>
      <c r="H84" s="2"/>
    </row>
    <row r="85" spans="1:8" x14ac:dyDescent="0.2">
      <c r="A85" s="2"/>
      <c r="B85" s="2"/>
      <c r="C85" s="2"/>
      <c r="D85" s="2"/>
      <c r="E85" s="2"/>
      <c r="F85" s="2"/>
      <c r="G85" s="2"/>
      <c r="H85" s="2"/>
    </row>
    <row r="86" spans="1:8" x14ac:dyDescent="0.2">
      <c r="A86" s="2"/>
      <c r="B86" s="2"/>
      <c r="C86" s="2"/>
      <c r="D86" s="2"/>
      <c r="E86" s="2"/>
      <c r="F86" s="2"/>
      <c r="G86" s="2"/>
      <c r="H86" s="2"/>
    </row>
    <row r="87" spans="1:8" x14ac:dyDescent="0.2">
      <c r="A87" s="2"/>
      <c r="B87" s="2"/>
      <c r="C87" s="2"/>
      <c r="D87" s="2"/>
      <c r="E87" s="2"/>
      <c r="F87" s="2"/>
      <c r="G87" s="2"/>
      <c r="H87" s="2"/>
    </row>
    <row r="88" spans="1:8" x14ac:dyDescent="0.2">
      <c r="A88" s="3"/>
      <c r="B88" s="3"/>
      <c r="C88" s="3"/>
      <c r="D88" s="2"/>
      <c r="E88" s="2"/>
      <c r="F88" s="2"/>
      <c r="G88" s="2"/>
      <c r="H88" s="2"/>
    </row>
    <row r="89" spans="1:8" x14ac:dyDescent="0.2">
      <c r="A89" s="2"/>
      <c r="B89" s="2"/>
      <c r="C89" s="2"/>
      <c r="D89" s="2"/>
      <c r="E89" s="2"/>
      <c r="F89" s="2"/>
      <c r="G89" s="2"/>
      <c r="H89" s="2"/>
    </row>
    <row r="90" spans="1:8" x14ac:dyDescent="0.2">
      <c r="A90" s="2"/>
      <c r="B90" s="2"/>
      <c r="C90" s="2"/>
      <c r="D90" s="2"/>
      <c r="E90" s="2"/>
      <c r="F90" s="2"/>
      <c r="G90" s="2"/>
      <c r="H90" s="2"/>
    </row>
    <row r="91" spans="1:8" x14ac:dyDescent="0.2">
      <c r="A91" s="2"/>
      <c r="B91" s="2"/>
      <c r="C91" s="2"/>
      <c r="D91" s="2"/>
      <c r="E91" s="2"/>
      <c r="F91" s="2"/>
      <c r="G91" s="2"/>
      <c r="H91" s="2"/>
    </row>
    <row r="92" spans="1:8" x14ac:dyDescent="0.2">
      <c r="A92" s="2"/>
      <c r="B92" s="2"/>
      <c r="C92" s="2"/>
      <c r="D92" s="2"/>
      <c r="E92" s="2"/>
      <c r="F92" s="2"/>
      <c r="G92" s="2"/>
      <c r="H92" s="2"/>
    </row>
    <row r="93" spans="1:8" x14ac:dyDescent="0.2">
      <c r="A93" s="2"/>
      <c r="B93" s="2"/>
      <c r="C93" s="2"/>
      <c r="D93" s="2"/>
      <c r="E93" s="2"/>
      <c r="F93" s="2"/>
      <c r="G93" s="2"/>
      <c r="H93" s="2"/>
    </row>
    <row r="94" spans="1:8" x14ac:dyDescent="0.2">
      <c r="A94" s="2"/>
      <c r="B94" s="2"/>
      <c r="C94" s="2"/>
      <c r="D94" s="2"/>
      <c r="E94" s="2"/>
      <c r="F94" s="2"/>
      <c r="G94" s="2"/>
      <c r="H94" s="2"/>
    </row>
    <row r="95" spans="1:8" x14ac:dyDescent="0.2">
      <c r="A95" s="2"/>
      <c r="B95" s="2"/>
      <c r="C95" s="2"/>
      <c r="D95" s="2"/>
      <c r="E95" s="2"/>
      <c r="F95" s="2"/>
      <c r="G95" s="2"/>
      <c r="H95" s="2"/>
    </row>
    <row r="96" spans="1:8" x14ac:dyDescent="0.2">
      <c r="A96" s="2"/>
      <c r="B96" s="2"/>
      <c r="C96" s="2"/>
      <c r="D96" s="2"/>
      <c r="E96" s="2"/>
      <c r="F96" s="2"/>
      <c r="G96" s="2"/>
      <c r="H96" s="2"/>
    </row>
    <row r="97" spans="1:8" x14ac:dyDescent="0.2">
      <c r="A97" s="2"/>
      <c r="B97" s="2"/>
      <c r="C97" s="2"/>
      <c r="D97" s="2"/>
      <c r="E97" s="2"/>
      <c r="F97" s="2"/>
      <c r="G97" s="2"/>
      <c r="H97" s="2"/>
    </row>
    <row r="98" spans="1:8" x14ac:dyDescent="0.2">
      <c r="A98" s="2"/>
      <c r="B98" s="2"/>
      <c r="C98" s="2"/>
      <c r="D98" s="2"/>
      <c r="E98" s="2"/>
      <c r="F98" s="2"/>
      <c r="G98" s="2"/>
      <c r="H98" s="2"/>
    </row>
  </sheetData>
  <mergeCells count="3">
    <mergeCell ref="D4:E4"/>
    <mergeCell ref="B4:C4"/>
    <mergeCell ref="Q3:S3"/>
  </mergeCells>
  <pageMargins left="0.11811023622047245" right="0.11811023622047245" top="0.15748031496062992" bottom="0.15748031496062992" header="0.31496062992125984" footer="0.31496062992125984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F369F-C70D-4A44-A6A7-B8C7922E0227}">
  <dimension ref="A1:R38"/>
  <sheetViews>
    <sheetView showGridLines="0" workbookViewId="0">
      <selection activeCell="B22" sqref="B22"/>
    </sheetView>
  </sheetViews>
  <sheetFormatPr baseColWidth="10" defaultColWidth="8.83203125" defaultRowHeight="15" x14ac:dyDescent="0.2"/>
  <cols>
    <col min="1" max="1" width="29.5" customWidth="1"/>
    <col min="2" max="2" width="25.5" bestFit="1" customWidth="1"/>
    <col min="3" max="3" width="12.5" customWidth="1"/>
    <col min="4" max="4" width="25.5" bestFit="1" customWidth="1"/>
    <col min="5" max="5" width="12.5" customWidth="1"/>
    <col min="6" max="6" width="25.5" bestFit="1" customWidth="1"/>
    <col min="7" max="7" width="11.5" customWidth="1"/>
    <col min="8" max="8" width="25.5" bestFit="1" customWidth="1"/>
    <col min="9" max="9" width="10.83203125" customWidth="1"/>
    <col min="10" max="10" width="23.5" customWidth="1"/>
    <col min="11" max="11" width="10.33203125" customWidth="1"/>
    <col min="12" max="12" width="22.83203125" customWidth="1"/>
    <col min="13" max="13" width="12.33203125" customWidth="1"/>
    <col min="14" max="14" width="13.83203125" customWidth="1"/>
    <col min="15" max="15" width="13" customWidth="1"/>
  </cols>
  <sheetData>
    <row r="1" spans="1:18" ht="19" x14ac:dyDescent="0.25">
      <c r="A1" s="131" t="s">
        <v>87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"/>
      <c r="R1" s="1"/>
    </row>
    <row r="2" spans="1:18" ht="20" thickBot="1" x14ac:dyDescent="0.3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"/>
      <c r="R2" s="1"/>
    </row>
    <row r="3" spans="1:18" ht="19" x14ac:dyDescent="0.25">
      <c r="A3" s="133"/>
      <c r="B3" s="134"/>
      <c r="C3" s="135"/>
      <c r="D3" s="134"/>
      <c r="E3" s="135"/>
      <c r="F3" s="134"/>
      <c r="G3" s="135"/>
      <c r="H3" s="134"/>
      <c r="I3" s="135"/>
      <c r="J3" s="134"/>
      <c r="K3" s="135"/>
      <c r="L3" s="134"/>
      <c r="M3" s="135"/>
      <c r="N3" s="136" t="s">
        <v>100</v>
      </c>
      <c r="O3" s="132"/>
      <c r="P3" s="132"/>
      <c r="Q3" s="1"/>
      <c r="R3" s="1"/>
    </row>
    <row r="4" spans="1:18" ht="20" thickBot="1" x14ac:dyDescent="0.3">
      <c r="A4" s="137"/>
      <c r="B4" s="138" t="s">
        <v>91</v>
      </c>
      <c r="C4" s="139" t="s">
        <v>0</v>
      </c>
      <c r="D4" s="138" t="s">
        <v>90</v>
      </c>
      <c r="E4" s="139" t="s">
        <v>0</v>
      </c>
      <c r="F4" s="138" t="s">
        <v>92</v>
      </c>
      <c r="G4" s="139" t="s">
        <v>0</v>
      </c>
      <c r="H4" s="138" t="s">
        <v>93</v>
      </c>
      <c r="I4" s="139" t="s">
        <v>0</v>
      </c>
      <c r="J4" s="138" t="s">
        <v>94</v>
      </c>
      <c r="K4" s="139" t="s">
        <v>0</v>
      </c>
      <c r="L4" s="138" t="s">
        <v>95</v>
      </c>
      <c r="M4" s="139" t="s">
        <v>0</v>
      </c>
      <c r="N4" s="140" t="s">
        <v>101</v>
      </c>
      <c r="O4" s="132"/>
      <c r="P4" s="132"/>
      <c r="Q4" s="1"/>
      <c r="R4" s="1"/>
    </row>
    <row r="5" spans="1:18" ht="20" thickBot="1" x14ac:dyDescent="0.3">
      <c r="A5" s="141" t="s">
        <v>88</v>
      </c>
      <c r="B5" s="142" t="s">
        <v>207</v>
      </c>
      <c r="C5" s="143"/>
      <c r="D5" s="142" t="s">
        <v>207</v>
      </c>
      <c r="E5" s="143"/>
      <c r="F5" s="142" t="s">
        <v>207</v>
      </c>
      <c r="G5" s="143"/>
      <c r="H5" s="142" t="s">
        <v>207</v>
      </c>
      <c r="I5" s="143"/>
      <c r="J5" s="142" t="s">
        <v>207</v>
      </c>
      <c r="K5" s="143"/>
      <c r="L5" s="142" t="s">
        <v>207</v>
      </c>
      <c r="M5" s="143"/>
      <c r="N5" s="144"/>
      <c r="O5" s="132"/>
      <c r="P5" s="132"/>
      <c r="Q5" s="1"/>
      <c r="R5" s="1"/>
    </row>
    <row r="6" spans="1:18" ht="19" x14ac:dyDescent="0.25">
      <c r="A6" s="145" t="s">
        <v>89</v>
      </c>
      <c r="B6" s="146" t="s">
        <v>160</v>
      </c>
      <c r="C6" s="147"/>
      <c r="D6" s="146" t="s">
        <v>160</v>
      </c>
      <c r="E6" s="148"/>
      <c r="F6" s="146" t="s">
        <v>160</v>
      </c>
      <c r="G6" s="148"/>
      <c r="H6" s="146" t="s">
        <v>160</v>
      </c>
      <c r="I6" s="148"/>
      <c r="J6" s="146" t="s">
        <v>160</v>
      </c>
      <c r="K6" s="148"/>
      <c r="L6" s="146" t="s">
        <v>160</v>
      </c>
      <c r="M6" s="148"/>
      <c r="N6" s="149"/>
      <c r="O6" s="132"/>
      <c r="P6" s="132"/>
      <c r="Q6" s="1"/>
      <c r="R6" s="1"/>
    </row>
    <row r="7" spans="1:18" ht="20" thickBot="1" x14ac:dyDescent="0.3">
      <c r="A7" s="150"/>
      <c r="B7" s="151" t="s">
        <v>96</v>
      </c>
      <c r="C7" s="152"/>
      <c r="D7" s="151" t="s">
        <v>96</v>
      </c>
      <c r="E7" s="153"/>
      <c r="F7" s="151" t="s">
        <v>96</v>
      </c>
      <c r="G7" s="153"/>
      <c r="H7" s="151" t="s">
        <v>96</v>
      </c>
      <c r="I7" s="153"/>
      <c r="J7" s="151" t="s">
        <v>96</v>
      </c>
      <c r="K7" s="153"/>
      <c r="L7" s="151" t="s">
        <v>96</v>
      </c>
      <c r="M7" s="153"/>
      <c r="N7" s="154"/>
      <c r="O7" s="132"/>
      <c r="P7" s="132"/>
      <c r="Q7" s="1"/>
      <c r="R7" s="1"/>
    </row>
    <row r="8" spans="1:18" ht="19" x14ac:dyDescent="0.25">
      <c r="A8" s="150"/>
      <c r="B8" s="155" t="s">
        <v>97</v>
      </c>
      <c r="C8" s="156">
        <f xml:space="preserve"> C6-C7</f>
        <v>0</v>
      </c>
      <c r="D8" s="155" t="s">
        <v>97</v>
      </c>
      <c r="E8" s="157">
        <f xml:space="preserve"> E6-E7</f>
        <v>0</v>
      </c>
      <c r="F8" s="155" t="s">
        <v>97</v>
      </c>
      <c r="G8" s="157">
        <f xml:space="preserve"> G6-G7</f>
        <v>0</v>
      </c>
      <c r="H8" s="155" t="s">
        <v>97</v>
      </c>
      <c r="I8" s="157">
        <f xml:space="preserve"> I6-I7</f>
        <v>0</v>
      </c>
      <c r="J8" s="155" t="s">
        <v>97</v>
      </c>
      <c r="K8" s="157">
        <f xml:space="preserve"> K6-K7</f>
        <v>0</v>
      </c>
      <c r="L8" s="155" t="s">
        <v>97</v>
      </c>
      <c r="M8" s="157">
        <f xml:space="preserve"> M6-M7</f>
        <v>0</v>
      </c>
      <c r="N8" s="158"/>
      <c r="O8" s="132"/>
      <c r="P8" s="132"/>
      <c r="Q8" s="1"/>
      <c r="R8" s="1"/>
    </row>
    <row r="9" spans="1:18" ht="20" thickBot="1" x14ac:dyDescent="0.3">
      <c r="A9" s="159"/>
      <c r="B9" s="160"/>
      <c r="C9" s="161"/>
      <c r="D9" s="160"/>
      <c r="E9" s="162"/>
      <c r="F9" s="160"/>
      <c r="G9" s="162"/>
      <c r="H9" s="160"/>
      <c r="I9" s="162"/>
      <c r="J9" s="160"/>
      <c r="K9" s="162"/>
      <c r="L9" s="160"/>
      <c r="M9" s="162"/>
      <c r="N9" s="150"/>
      <c r="O9" s="132"/>
      <c r="P9" s="132"/>
      <c r="Q9" s="1"/>
      <c r="R9" s="1"/>
    </row>
    <row r="10" spans="1:18" ht="20" thickBot="1" x14ac:dyDescent="0.3">
      <c r="A10" s="163" t="s">
        <v>98</v>
      </c>
      <c r="B10" s="164" t="s">
        <v>99</v>
      </c>
      <c r="C10" s="165"/>
      <c r="D10" s="164" t="s">
        <v>99</v>
      </c>
      <c r="E10" s="166"/>
      <c r="F10" s="164" t="s">
        <v>99</v>
      </c>
      <c r="G10" s="166"/>
      <c r="H10" s="164" t="s">
        <v>99</v>
      </c>
      <c r="I10" s="166"/>
      <c r="J10" s="164" t="s">
        <v>99</v>
      </c>
      <c r="K10" s="166"/>
      <c r="L10" s="164" t="s">
        <v>99</v>
      </c>
      <c r="M10" s="166"/>
      <c r="N10" s="167" t="s">
        <v>102</v>
      </c>
      <c r="O10" s="132"/>
      <c r="P10" s="132"/>
      <c r="Q10" s="1"/>
      <c r="R10" s="1"/>
    </row>
    <row r="11" spans="1:18" ht="19" x14ac:dyDescent="0.25">
      <c r="A11" s="168" t="s">
        <v>201</v>
      </c>
      <c r="B11" s="169"/>
      <c r="C11" s="170">
        <f xml:space="preserve"> B11*C8</f>
        <v>0</v>
      </c>
      <c r="D11" s="169"/>
      <c r="E11" s="171">
        <f xml:space="preserve"> D11*E8</f>
        <v>0</v>
      </c>
      <c r="F11" s="169"/>
      <c r="G11" s="171">
        <f xml:space="preserve"> F11*G8</f>
        <v>0</v>
      </c>
      <c r="H11" s="169"/>
      <c r="I11" s="171">
        <f xml:space="preserve"> H11*I8</f>
        <v>0</v>
      </c>
      <c r="J11" s="169"/>
      <c r="K11" s="171">
        <f xml:space="preserve"> J11*K8</f>
        <v>0</v>
      </c>
      <c r="L11" s="169"/>
      <c r="M11" s="171">
        <f xml:space="preserve"> L11*M8</f>
        <v>0</v>
      </c>
      <c r="N11" s="172">
        <f t="shared" ref="N11:N18" si="0" xml:space="preserve"> C11+E11+G11+I11+K11+M11</f>
        <v>0</v>
      </c>
      <c r="O11" s="132"/>
      <c r="P11" s="132"/>
      <c r="Q11" s="1"/>
      <c r="R11" s="1"/>
    </row>
    <row r="12" spans="1:18" ht="19" x14ac:dyDescent="0.25">
      <c r="A12" s="173" t="s">
        <v>202</v>
      </c>
      <c r="B12" s="174"/>
      <c r="C12" s="175">
        <f xml:space="preserve"> B12*C8</f>
        <v>0</v>
      </c>
      <c r="D12" s="174"/>
      <c r="E12" s="176">
        <f xml:space="preserve"> D12*E8</f>
        <v>0</v>
      </c>
      <c r="F12" s="174"/>
      <c r="G12" s="176">
        <f xml:space="preserve"> F12*G8</f>
        <v>0</v>
      </c>
      <c r="H12" s="174"/>
      <c r="I12" s="176">
        <f xml:space="preserve"> H12*I8</f>
        <v>0</v>
      </c>
      <c r="J12" s="174"/>
      <c r="K12" s="176">
        <f xml:space="preserve"> J12*K8</f>
        <v>0</v>
      </c>
      <c r="L12" s="174"/>
      <c r="M12" s="176">
        <f xml:space="preserve"> L12*M8</f>
        <v>0</v>
      </c>
      <c r="N12" s="172">
        <f t="shared" si="0"/>
        <v>0</v>
      </c>
      <c r="O12" s="132"/>
      <c r="P12" s="132"/>
      <c r="Q12" s="1"/>
      <c r="R12" s="1"/>
    </row>
    <row r="13" spans="1:18" ht="19" x14ac:dyDescent="0.25">
      <c r="A13" s="173" t="s">
        <v>203</v>
      </c>
      <c r="B13" s="174"/>
      <c r="C13" s="175">
        <f xml:space="preserve"> B13*C8</f>
        <v>0</v>
      </c>
      <c r="D13" s="174"/>
      <c r="E13" s="176">
        <f xml:space="preserve"> D13*E8</f>
        <v>0</v>
      </c>
      <c r="F13" s="174"/>
      <c r="G13" s="176">
        <f xml:space="preserve"> F13*G8</f>
        <v>0</v>
      </c>
      <c r="H13" s="174"/>
      <c r="I13" s="176">
        <f xml:space="preserve"> H13*I8</f>
        <v>0</v>
      </c>
      <c r="J13" s="174"/>
      <c r="K13" s="176">
        <f xml:space="preserve"> J13*K8</f>
        <v>0</v>
      </c>
      <c r="L13" s="174"/>
      <c r="M13" s="176">
        <f xml:space="preserve"> L13*M8</f>
        <v>0</v>
      </c>
      <c r="N13" s="172">
        <f t="shared" si="0"/>
        <v>0</v>
      </c>
      <c r="O13" s="132"/>
      <c r="P13" s="132"/>
      <c r="Q13" s="1"/>
      <c r="R13" s="1"/>
    </row>
    <row r="14" spans="1:18" ht="19" x14ac:dyDescent="0.25">
      <c r="A14" s="173" t="s">
        <v>204</v>
      </c>
      <c r="B14" s="174"/>
      <c r="C14" s="175">
        <f xml:space="preserve"> B14*C8</f>
        <v>0</v>
      </c>
      <c r="D14" s="174"/>
      <c r="E14" s="176">
        <f xml:space="preserve"> D14*E8</f>
        <v>0</v>
      </c>
      <c r="F14" s="174"/>
      <c r="G14" s="176">
        <f xml:space="preserve"> F14*G8</f>
        <v>0</v>
      </c>
      <c r="H14" s="174"/>
      <c r="I14" s="176">
        <f xml:space="preserve"> H14*I8</f>
        <v>0</v>
      </c>
      <c r="J14" s="174"/>
      <c r="K14" s="176">
        <f xml:space="preserve"> J14*K8</f>
        <v>0</v>
      </c>
      <c r="L14" s="174"/>
      <c r="M14" s="176">
        <f xml:space="preserve"> L14*M8</f>
        <v>0</v>
      </c>
      <c r="N14" s="172">
        <f t="shared" si="0"/>
        <v>0</v>
      </c>
      <c r="O14" s="132"/>
      <c r="P14" s="132"/>
      <c r="Q14" s="1"/>
      <c r="R14" s="1"/>
    </row>
    <row r="15" spans="1:18" ht="19" x14ac:dyDescent="0.25">
      <c r="A15" s="173" t="s">
        <v>205</v>
      </c>
      <c r="B15" s="174"/>
      <c r="C15" s="175">
        <f xml:space="preserve"> B15*C8</f>
        <v>0</v>
      </c>
      <c r="D15" s="174"/>
      <c r="E15" s="176">
        <f xml:space="preserve"> D15*E8</f>
        <v>0</v>
      </c>
      <c r="F15" s="174"/>
      <c r="G15" s="176">
        <f xml:space="preserve"> F15*G8</f>
        <v>0</v>
      </c>
      <c r="H15" s="174"/>
      <c r="I15" s="176">
        <f xml:space="preserve"> H15*I8</f>
        <v>0</v>
      </c>
      <c r="J15" s="174"/>
      <c r="K15" s="176">
        <f xml:space="preserve"> J15*K8</f>
        <v>0</v>
      </c>
      <c r="L15" s="174"/>
      <c r="M15" s="176">
        <f xml:space="preserve"> L15*M8</f>
        <v>0</v>
      </c>
      <c r="N15" s="172">
        <f t="shared" si="0"/>
        <v>0</v>
      </c>
      <c r="O15" s="132"/>
      <c r="P15" s="132"/>
      <c r="Q15" s="1"/>
      <c r="R15" s="1"/>
    </row>
    <row r="16" spans="1:18" ht="20" thickBot="1" x14ac:dyDescent="0.3">
      <c r="A16" s="177" t="s">
        <v>206</v>
      </c>
      <c r="B16" s="178"/>
      <c r="C16" s="179">
        <f xml:space="preserve"> B16*C8</f>
        <v>0</v>
      </c>
      <c r="D16" s="178"/>
      <c r="E16" s="176">
        <f xml:space="preserve"> D16*E8</f>
        <v>0</v>
      </c>
      <c r="F16" s="178"/>
      <c r="G16" s="180">
        <f xml:space="preserve"> F16*G8</f>
        <v>0</v>
      </c>
      <c r="H16" s="178"/>
      <c r="I16" s="180">
        <f xml:space="preserve"> H16*I8</f>
        <v>0</v>
      </c>
      <c r="J16" s="178"/>
      <c r="K16" s="180">
        <f xml:space="preserve"> J16*K8</f>
        <v>0</v>
      </c>
      <c r="L16" s="178"/>
      <c r="M16" s="180">
        <f xml:space="preserve"> L16*M8</f>
        <v>0</v>
      </c>
      <c r="N16" s="172">
        <f t="shared" si="0"/>
        <v>0</v>
      </c>
      <c r="O16" s="132"/>
      <c r="P16" s="132"/>
      <c r="Q16" s="1"/>
      <c r="R16" s="1"/>
    </row>
    <row r="17" spans="1:18" ht="19" x14ac:dyDescent="0.25">
      <c r="A17" s="181" t="s">
        <v>105</v>
      </c>
      <c r="B17" s="182"/>
      <c r="C17" s="183">
        <f>SUM(C11:C16)</f>
        <v>0</v>
      </c>
      <c r="D17" s="184"/>
      <c r="E17" s="185">
        <f>SUM(E11:E16)</f>
        <v>0</v>
      </c>
      <c r="F17" s="186"/>
      <c r="G17" s="185">
        <f>SUM(G11:G16)</f>
        <v>0</v>
      </c>
      <c r="H17" s="184"/>
      <c r="I17" s="185">
        <f>SUM(I11:I16)</f>
        <v>0</v>
      </c>
      <c r="J17" s="187"/>
      <c r="K17" s="185">
        <f>SUM(K11:K16)</f>
        <v>0</v>
      </c>
      <c r="L17" s="187"/>
      <c r="M17" s="185">
        <f>SUM(M11:M16)</f>
        <v>0</v>
      </c>
      <c r="N17" s="188">
        <f t="shared" si="0"/>
        <v>0</v>
      </c>
      <c r="O17" s="132"/>
      <c r="P17" s="132"/>
      <c r="Q17" s="1"/>
      <c r="R17" s="1"/>
    </row>
    <row r="18" spans="1:18" ht="19" x14ac:dyDescent="0.25">
      <c r="A18" s="189" t="s">
        <v>106</v>
      </c>
      <c r="B18" s="190">
        <f>SUM(B11:B17)</f>
        <v>0</v>
      </c>
      <c r="C18" s="191">
        <f xml:space="preserve"> B18*C6</f>
        <v>0</v>
      </c>
      <c r="D18" s="190">
        <f>SUM(D11:D17)</f>
        <v>0</v>
      </c>
      <c r="E18" s="192">
        <f xml:space="preserve"> D18*E6</f>
        <v>0</v>
      </c>
      <c r="F18" s="190">
        <f>SUM(F11:F17)</f>
        <v>0</v>
      </c>
      <c r="G18" s="192">
        <f xml:space="preserve"> F18*G6</f>
        <v>0</v>
      </c>
      <c r="H18" s="190">
        <f>SUM(H11:H17)</f>
        <v>0</v>
      </c>
      <c r="I18" s="192">
        <f xml:space="preserve"> H18*I6</f>
        <v>0</v>
      </c>
      <c r="J18" s="190">
        <f>SUM(J11:J17)</f>
        <v>0</v>
      </c>
      <c r="K18" s="192">
        <f xml:space="preserve"> J18*K6</f>
        <v>0</v>
      </c>
      <c r="L18" s="190">
        <f>SUM(L11:L17)</f>
        <v>0</v>
      </c>
      <c r="M18" s="192">
        <f xml:space="preserve"> L18*M6</f>
        <v>0</v>
      </c>
      <c r="N18" s="193">
        <f t="shared" si="0"/>
        <v>0</v>
      </c>
      <c r="O18" s="132"/>
      <c r="P18" s="132"/>
      <c r="Q18" s="1"/>
      <c r="R18" s="1"/>
    </row>
    <row r="19" spans="1:18" ht="20" thickBot="1" x14ac:dyDescent="0.3">
      <c r="A19" s="194" t="s">
        <v>108</v>
      </c>
      <c r="B19" s="195"/>
      <c r="C19" s="196">
        <f xml:space="preserve"> - B18*C7</f>
        <v>0</v>
      </c>
      <c r="D19" s="195"/>
      <c r="E19" s="197">
        <f xml:space="preserve"> -D18*E7</f>
        <v>0</v>
      </c>
      <c r="F19" s="195"/>
      <c r="G19" s="197">
        <f xml:space="preserve"> -F18*G7</f>
        <v>0</v>
      </c>
      <c r="H19" s="195"/>
      <c r="I19" s="197">
        <f xml:space="preserve"> -H18*I7</f>
        <v>0</v>
      </c>
      <c r="J19" s="195"/>
      <c r="K19" s="197">
        <f xml:space="preserve"> -J18*K7</f>
        <v>0</v>
      </c>
      <c r="L19" s="195"/>
      <c r="M19" s="197">
        <f xml:space="preserve"> -L18*M7</f>
        <v>0</v>
      </c>
      <c r="N19" s="198">
        <f>SUM(B19:M19)</f>
        <v>0</v>
      </c>
      <c r="O19" s="132"/>
      <c r="P19" s="132"/>
      <c r="Q19" s="1"/>
      <c r="R19" s="1"/>
    </row>
    <row r="20" spans="1:18" ht="20" thickBot="1" x14ac:dyDescent="0.3">
      <c r="A20" s="199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200"/>
      <c r="M20" s="201" t="s">
        <v>103</v>
      </c>
      <c r="N20" s="202" t="s">
        <v>104</v>
      </c>
      <c r="O20" s="203"/>
      <c r="P20" s="132"/>
      <c r="Q20" s="1"/>
      <c r="R20" s="1"/>
    </row>
    <row r="21" spans="1:18" ht="19" x14ac:dyDescent="0.2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204" t="s">
        <v>107</v>
      </c>
      <c r="M21" s="205">
        <f xml:space="preserve"> N18</f>
        <v>0</v>
      </c>
      <c r="N21" s="206">
        <f xml:space="preserve"> M21*12</f>
        <v>0</v>
      </c>
      <c r="O21" s="207"/>
      <c r="P21" s="132"/>
      <c r="Q21" s="1"/>
      <c r="R21" s="1"/>
    </row>
    <row r="22" spans="1:18" ht="19" x14ac:dyDescent="0.25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208" t="s">
        <v>108</v>
      </c>
      <c r="M22" s="209">
        <f xml:space="preserve"> N19</f>
        <v>0</v>
      </c>
      <c r="N22" s="210">
        <f xml:space="preserve"> M22*12</f>
        <v>0</v>
      </c>
      <c r="O22" s="207"/>
      <c r="P22" s="132"/>
      <c r="Q22" s="1"/>
      <c r="R22" s="1"/>
    </row>
    <row r="23" spans="1:18" ht="20" thickBot="1" x14ac:dyDescent="0.3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208" t="s">
        <v>105</v>
      </c>
      <c r="M23" s="211">
        <f xml:space="preserve"> N17</f>
        <v>0</v>
      </c>
      <c r="N23" s="210">
        <f xml:space="preserve"> M23*12</f>
        <v>0</v>
      </c>
      <c r="O23" s="207"/>
      <c r="P23" s="132"/>
      <c r="Q23" s="1"/>
      <c r="R23" s="1"/>
    </row>
    <row r="24" spans="1:18" ht="70" thickBot="1" x14ac:dyDescent="0.3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212" t="s">
        <v>111</v>
      </c>
      <c r="M24" s="213">
        <f>Profitability!D42</f>
        <v>0</v>
      </c>
      <c r="N24" s="214">
        <f xml:space="preserve"> M24*12</f>
        <v>0</v>
      </c>
      <c r="O24" s="207"/>
      <c r="P24" s="132"/>
      <c r="Q24" s="1"/>
      <c r="R24" s="1"/>
    </row>
    <row r="25" spans="1:18" ht="35" x14ac:dyDescent="0.2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215" t="s">
        <v>109</v>
      </c>
      <c r="M25" s="216">
        <f xml:space="preserve"> M23-M24</f>
        <v>0</v>
      </c>
      <c r="N25" s="217"/>
      <c r="O25" s="218"/>
      <c r="P25" s="132"/>
      <c r="Q25" s="1"/>
      <c r="R25" s="1"/>
    </row>
    <row r="26" spans="1:18" ht="53" thickBot="1" x14ac:dyDescent="0.3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219" t="s">
        <v>110</v>
      </c>
      <c r="M26" s="220" t="e">
        <f xml:space="preserve"> M24/M23*100</f>
        <v>#DIV/0!</v>
      </c>
      <c r="N26" s="221"/>
      <c r="O26" s="218"/>
      <c r="P26" s="132"/>
      <c r="Q26" s="1"/>
      <c r="R26" s="1"/>
    </row>
    <row r="27" spans="1:18" ht="19" x14ac:dyDescent="0.2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222"/>
      <c r="M27" s="222"/>
      <c r="N27" s="222"/>
      <c r="O27" s="132"/>
      <c r="P27" s="132"/>
      <c r="Q27" s="1"/>
      <c r="R27" s="1"/>
    </row>
    <row r="28" spans="1:18" ht="19" x14ac:dyDescent="0.2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223"/>
      <c r="L28" s="224" t="s">
        <v>154</v>
      </c>
      <c r="M28" s="224"/>
      <c r="N28" s="224"/>
      <c r="O28" s="132"/>
      <c r="P28" s="132"/>
      <c r="Q28" s="1"/>
      <c r="R28" s="1"/>
    </row>
    <row r="29" spans="1:18" ht="19" x14ac:dyDescent="0.2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224" t="s">
        <v>153</v>
      </c>
      <c r="M29" s="224"/>
      <c r="N29" s="224"/>
      <c r="O29" s="132"/>
      <c r="P29" s="132"/>
      <c r="Q29" s="1"/>
      <c r="R29" s="1"/>
    </row>
    <row r="30" spans="1:18" ht="19" x14ac:dyDescent="0.2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"/>
      <c r="R30" s="1"/>
    </row>
    <row r="31" spans="1:18" ht="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x14ac:dyDescent="0.2">
      <c r="A33" s="1"/>
      <c r="B33" s="1"/>
      <c r="C33" s="1"/>
      <c r="D33" s="1"/>
      <c r="E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pageMargins left="0.31496062992125984" right="0.31496062992125984" top="0.74803149606299213" bottom="0.74803149606299213" header="0.31496062992125984" footer="0.31496062992125984"/>
  <pageSetup paperSize="9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A0463-1BED-4D7C-B1EA-E04B62630B71}">
  <dimension ref="A1:R45"/>
  <sheetViews>
    <sheetView tabSelected="1" workbookViewId="0">
      <selection activeCell="A5" sqref="A5"/>
    </sheetView>
  </sheetViews>
  <sheetFormatPr baseColWidth="10" defaultColWidth="8.83203125" defaultRowHeight="15" x14ac:dyDescent="0.2"/>
  <cols>
    <col min="1" max="1" width="33.6640625" customWidth="1"/>
    <col min="2" max="2" width="1.5" customWidth="1"/>
    <col min="3" max="3" width="9.5" customWidth="1"/>
    <col min="16" max="16" width="1.33203125" customWidth="1"/>
    <col min="17" max="17" width="9.6640625" customWidth="1"/>
  </cols>
  <sheetData>
    <row r="1" spans="1:18" ht="22" thickBot="1" x14ac:dyDescent="0.3">
      <c r="A1" s="225" t="s">
        <v>162</v>
      </c>
      <c r="B1" s="226"/>
      <c r="C1" s="226"/>
      <c r="D1" s="227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16" thickTop="1" x14ac:dyDescent="0.2">
      <c r="A2" s="229" t="s">
        <v>163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1"/>
      <c r="Q2" s="230"/>
      <c r="R2" s="230"/>
    </row>
    <row r="3" spans="1:18" ht="30" x14ac:dyDescent="0.2">
      <c r="A3" s="232" t="s">
        <v>164</v>
      </c>
      <c r="B3" s="233"/>
      <c r="C3" s="234" t="s">
        <v>165</v>
      </c>
      <c r="D3" s="276" t="str">
        <f>UPPER(TEXT(FiscalYearStartDate,"kkk"))</f>
        <v>SYYS</v>
      </c>
      <c r="E3" s="235" t="str">
        <f>UPPER(TEXT(EOMONTH(FiscalYearStartDate,1),"kkk"))</f>
        <v>LOKA</v>
      </c>
      <c r="F3" s="235" t="str">
        <f>UPPER(TEXT(EOMONTH(FiscalYearStartDate,2),"kkk"))</f>
        <v>MARRAS</v>
      </c>
      <c r="G3" s="235" t="str">
        <f>UPPER(TEXT(EOMONTH(FiscalYearStartDate,3),"kkk"))</f>
        <v>JOULU</v>
      </c>
      <c r="H3" s="235" t="str">
        <f>UPPER(TEXT(EOMONTH(FiscalYearStartDate,4),"kkk"))</f>
        <v>TAMMI</v>
      </c>
      <c r="I3" s="235" t="str">
        <f>UPPER(TEXT(EOMONTH(FiscalYearStartDate,5),"kkk"))</f>
        <v>HELMI</v>
      </c>
      <c r="J3" s="235" t="str">
        <f>UPPER(TEXT(EOMONTH(FiscalYearStartDate,6),"kkk"))</f>
        <v>MAALIS</v>
      </c>
      <c r="K3" s="235" t="str">
        <f>UPPER(TEXT(EOMONTH(FiscalYearStartDate,7),"kkk"))</f>
        <v>HUHTI</v>
      </c>
      <c r="L3" s="235" t="str">
        <f>UPPER(TEXT(EOMONTH(FiscalYearStartDate,8),"kkk"))</f>
        <v>TOUKO</v>
      </c>
      <c r="M3" s="235" t="str">
        <f>UPPER(TEXT(EOMONTH(FiscalYearStartDate,9),"kkk"))</f>
        <v>KESÄ</v>
      </c>
      <c r="N3" s="235" t="str">
        <f>UPPER(TEXT(EOMONTH(FiscalYearStartDate,10),"kkk"))</f>
        <v>HEINÄ</v>
      </c>
      <c r="O3" s="235" t="str">
        <f>UPPER(TEXT(EOMONTH(FiscalYearStartDate,11),"kkk"))</f>
        <v>ELO</v>
      </c>
      <c r="P3" s="236"/>
      <c r="Q3" s="234" t="s">
        <v>166</v>
      </c>
      <c r="R3" s="230"/>
    </row>
    <row r="4" spans="1:18" ht="31" thickBot="1" x14ac:dyDescent="0.25">
      <c r="A4" s="237">
        <v>43709</v>
      </c>
      <c r="B4" s="229"/>
      <c r="C4" s="238" t="s">
        <v>174</v>
      </c>
      <c r="D4" s="239">
        <v>1</v>
      </c>
      <c r="E4" s="239">
        <v>2</v>
      </c>
      <c r="F4" s="239">
        <v>3</v>
      </c>
      <c r="G4" s="239">
        <v>4</v>
      </c>
      <c r="H4" s="239">
        <v>5</v>
      </c>
      <c r="I4" s="239">
        <v>6</v>
      </c>
      <c r="J4" s="239">
        <v>7</v>
      </c>
      <c r="K4" s="239">
        <v>8</v>
      </c>
      <c r="L4" s="239">
        <v>9</v>
      </c>
      <c r="M4" s="239">
        <v>10</v>
      </c>
      <c r="N4" s="239">
        <v>11</v>
      </c>
      <c r="O4" s="239">
        <v>12</v>
      </c>
      <c r="P4" s="240"/>
      <c r="Q4" s="241" t="s">
        <v>161</v>
      </c>
      <c r="R4" s="230"/>
    </row>
    <row r="5" spans="1:18" ht="16" thickTop="1" x14ac:dyDescent="0.2">
      <c r="A5" s="242"/>
      <c r="B5" s="230"/>
      <c r="C5" s="243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43"/>
      <c r="R5" s="230"/>
    </row>
    <row r="6" spans="1:18" ht="16" thickBot="1" x14ac:dyDescent="0.25">
      <c r="A6" s="246" t="s">
        <v>197</v>
      </c>
      <c r="B6" s="230"/>
      <c r="C6" s="247"/>
      <c r="D6" s="247">
        <f>C44</f>
        <v>0</v>
      </c>
      <c r="E6" s="247">
        <f t="shared" ref="E6:O6" si="0">D44</f>
        <v>0</v>
      </c>
      <c r="F6" s="247">
        <f t="shared" si="0"/>
        <v>0</v>
      </c>
      <c r="G6" s="247">
        <f t="shared" si="0"/>
        <v>0</v>
      </c>
      <c r="H6" s="247">
        <f t="shared" si="0"/>
        <v>0</v>
      </c>
      <c r="I6" s="247">
        <f t="shared" si="0"/>
        <v>0</v>
      </c>
      <c r="J6" s="247">
        <f t="shared" si="0"/>
        <v>0</v>
      </c>
      <c r="K6" s="247">
        <f t="shared" si="0"/>
        <v>0</v>
      </c>
      <c r="L6" s="247">
        <f t="shared" si="0"/>
        <v>0</v>
      </c>
      <c r="M6" s="247">
        <f t="shared" si="0"/>
        <v>0</v>
      </c>
      <c r="N6" s="247">
        <f t="shared" si="0"/>
        <v>0</v>
      </c>
      <c r="O6" s="247">
        <f t="shared" si="0"/>
        <v>0</v>
      </c>
      <c r="P6" s="248"/>
      <c r="Q6" s="247">
        <f>O6</f>
        <v>0</v>
      </c>
      <c r="R6" s="249"/>
    </row>
    <row r="7" spans="1:18" x14ac:dyDescent="0.2">
      <c r="A7" s="230"/>
      <c r="B7" s="23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1"/>
      <c r="Q7" s="250"/>
      <c r="R7" s="230"/>
    </row>
    <row r="8" spans="1:18" ht="16" thickBot="1" x14ac:dyDescent="0.25">
      <c r="A8" s="252" t="s">
        <v>209</v>
      </c>
      <c r="B8" s="230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1"/>
      <c r="Q8" s="253"/>
      <c r="R8" s="254"/>
    </row>
    <row r="9" spans="1:18" ht="16" thickTop="1" x14ac:dyDescent="0.2">
      <c r="A9" s="255" t="s">
        <v>190</v>
      </c>
      <c r="B9" s="251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7"/>
      <c r="Q9" s="250">
        <f>SUM(CashReceipts[[#This Row],[Period 0]:[Period 12]])</f>
        <v>0</v>
      </c>
      <c r="R9" s="230"/>
    </row>
    <row r="10" spans="1:18" x14ac:dyDescent="0.2">
      <c r="A10" s="255" t="s">
        <v>200</v>
      </c>
      <c r="B10" s="251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7"/>
      <c r="Q10" s="250">
        <f>SUM(CashReceipts[[#This Row],[Period 0]:[Period 12]])</f>
        <v>0</v>
      </c>
      <c r="R10" s="230"/>
    </row>
    <row r="11" spans="1:18" x14ac:dyDescent="0.2">
      <c r="A11" s="255" t="s">
        <v>191</v>
      </c>
      <c r="B11" s="258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7"/>
      <c r="Q11" s="250">
        <f>SUM(CashReceipts[[#This Row],[Period 0]:[Period 12]])</f>
        <v>0</v>
      </c>
      <c r="R11" s="230"/>
    </row>
    <row r="12" spans="1:18" ht="16" thickBot="1" x14ac:dyDescent="0.25">
      <c r="A12" s="255" t="s">
        <v>194</v>
      </c>
      <c r="B12" s="259"/>
      <c r="C12" s="250">
        <f>SUBTOTAL(109,CashReceipts[Period 0])</f>
        <v>0</v>
      </c>
      <c r="D12" s="250">
        <f>SUBTOTAL(109,CashReceipts[Period 1])</f>
        <v>0</v>
      </c>
      <c r="E12" s="250">
        <f>SUBTOTAL(109,CashReceipts[Period 2])</f>
        <v>0</v>
      </c>
      <c r="F12" s="250">
        <f>SUBTOTAL(109,CashReceipts[Period 3])</f>
        <v>0</v>
      </c>
      <c r="G12" s="250">
        <f>SUBTOTAL(109,CashReceipts[Period 4])</f>
        <v>0</v>
      </c>
      <c r="H12" s="250">
        <f>SUBTOTAL(109,CashReceipts[Period 5])</f>
        <v>0</v>
      </c>
      <c r="I12" s="250">
        <f>SUBTOTAL(109,CashReceipts[Period 6])</f>
        <v>0</v>
      </c>
      <c r="J12" s="250">
        <f>SUBTOTAL(109,CashReceipts[Period 7])</f>
        <v>0</v>
      </c>
      <c r="K12" s="250">
        <f>SUBTOTAL(109,CashReceipts[Period 8])</f>
        <v>0</v>
      </c>
      <c r="L12" s="250">
        <f>SUBTOTAL(109,CashReceipts[Period 9])</f>
        <v>0</v>
      </c>
      <c r="M12" s="250">
        <f>SUBTOTAL(109,CashReceipts[Period 10])</f>
        <v>0</v>
      </c>
      <c r="N12" s="250">
        <f>SUBTOTAL(109,CashReceipts[Period 11])</f>
        <v>0</v>
      </c>
      <c r="O12" s="250">
        <f>SUBTOTAL(109,CashReceipts[Period 12])</f>
        <v>0</v>
      </c>
      <c r="P12" s="257"/>
      <c r="Q12" s="250">
        <f>SUBTOTAL(109,CashReceipts[Total])</f>
        <v>0</v>
      </c>
      <c r="R12" s="230"/>
    </row>
    <row r="13" spans="1:18" ht="17" thickTop="1" thickBot="1" x14ac:dyDescent="0.25">
      <c r="A13" s="260" t="s">
        <v>199</v>
      </c>
      <c r="B13" s="261"/>
      <c r="C13" s="262">
        <f>C6+SUM(CashReceipts[Period 0])</f>
        <v>0</v>
      </c>
      <c r="D13" s="262">
        <f>D6+SUM(CashReceipts[Period 1])</f>
        <v>0</v>
      </c>
      <c r="E13" s="262">
        <f>E6+SUM(CashReceipts[Period 2])</f>
        <v>0</v>
      </c>
      <c r="F13" s="262">
        <f>F6+SUM(CashReceipts[Period 3])</f>
        <v>0</v>
      </c>
      <c r="G13" s="262">
        <f>G6+SUM(CashReceipts[Period 4])</f>
        <v>0</v>
      </c>
      <c r="H13" s="262">
        <f>H6+SUM(CashReceipts[Period 5])</f>
        <v>0</v>
      </c>
      <c r="I13" s="262">
        <f>I6+SUM(CashReceipts[Period 6])</f>
        <v>0</v>
      </c>
      <c r="J13" s="262">
        <f>J6+SUM(CashReceipts[Period 7])</f>
        <v>0</v>
      </c>
      <c r="K13" s="262">
        <f>K6+SUM(CashReceipts[Period 8])</f>
        <v>0</v>
      </c>
      <c r="L13" s="262">
        <f>L6+SUM(CashReceipts[Period 9])</f>
        <v>0</v>
      </c>
      <c r="M13" s="262">
        <f>M6+SUM(CashReceipts[Period 10])</f>
        <v>0</v>
      </c>
      <c r="N13" s="262">
        <f>N6+SUM(CashReceipts[Period 11])</f>
        <v>0</v>
      </c>
      <c r="O13" s="262">
        <f>O6+SUM(CashReceipts[Period 12])</f>
        <v>0</v>
      </c>
      <c r="P13" s="263"/>
      <c r="Q13" s="262">
        <f>Q6+SUM(CashReceipts[Total])</f>
        <v>0</v>
      </c>
      <c r="R13" s="264"/>
    </row>
    <row r="14" spans="1:18" x14ac:dyDescent="0.2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</row>
    <row r="15" spans="1:18" ht="16" thickBot="1" x14ac:dyDescent="0.25">
      <c r="A15" s="265" t="s">
        <v>208</v>
      </c>
      <c r="B15" s="251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1"/>
      <c r="Q15" s="254"/>
      <c r="R15" s="254"/>
    </row>
    <row r="16" spans="1:18" ht="16" thickTop="1" x14ac:dyDescent="0.2">
      <c r="A16" s="266" t="s">
        <v>142</v>
      </c>
      <c r="B16" s="251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67"/>
      <c r="Q16" s="250">
        <f>SUM(CashPaidOut[[#This Row],[Period 0]:[Period 12]])</f>
        <v>0</v>
      </c>
      <c r="R16" s="250"/>
    </row>
    <row r="17" spans="1:18" x14ac:dyDescent="0.2">
      <c r="A17" s="266" t="s">
        <v>196</v>
      </c>
      <c r="B17" s="251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67"/>
      <c r="Q17" s="250">
        <f>SUM(CashPaidOut[[#This Row],[Period 0]:[Period 12]])</f>
        <v>0</v>
      </c>
      <c r="R17" s="250"/>
    </row>
    <row r="18" spans="1:18" x14ac:dyDescent="0.2">
      <c r="A18" s="266" t="s">
        <v>185</v>
      </c>
      <c r="B18" s="251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67"/>
      <c r="Q18" s="250">
        <f>SUM(CashPaidOut[[#This Row],[Period 0]:[Period 12]])</f>
        <v>0</v>
      </c>
      <c r="R18" s="250"/>
    </row>
    <row r="19" spans="1:18" x14ac:dyDescent="0.2">
      <c r="A19" s="266" t="s">
        <v>167</v>
      </c>
      <c r="B19" s="251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67"/>
      <c r="Q19" s="250">
        <f>SUM(CashPaidOut[[#This Row],[Period 0]:[Period 12]])</f>
        <v>0</v>
      </c>
      <c r="R19" s="250"/>
    </row>
    <row r="20" spans="1:18" x14ac:dyDescent="0.2">
      <c r="A20" s="266" t="s">
        <v>168</v>
      </c>
      <c r="B20" s="251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67"/>
      <c r="Q20" s="250">
        <f>SUM(CashPaidOut[[#This Row],[Period 0]:[Period 12]])</f>
        <v>0</v>
      </c>
      <c r="R20" s="250"/>
    </row>
    <row r="21" spans="1:18" x14ac:dyDescent="0.2">
      <c r="A21" s="266" t="s">
        <v>195</v>
      </c>
      <c r="B21" s="251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67"/>
      <c r="Q21" s="250">
        <f>SUM(CashPaidOut[[#This Row],[Period 0]:[Period 12]])</f>
        <v>0</v>
      </c>
      <c r="R21" s="250"/>
    </row>
    <row r="22" spans="1:18" x14ac:dyDescent="0.2">
      <c r="A22" s="266" t="s">
        <v>175</v>
      </c>
      <c r="B22" s="251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67"/>
      <c r="Q22" s="250">
        <f>SUM(CashPaidOut[[#This Row],[Period 0]:[Period 12]])</f>
        <v>0</v>
      </c>
      <c r="R22" s="250"/>
    </row>
    <row r="23" spans="1:18" x14ac:dyDescent="0.2">
      <c r="A23" s="266" t="s">
        <v>169</v>
      </c>
      <c r="B23" s="251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67"/>
      <c r="Q23" s="250">
        <f>SUM(CashPaidOut[[#This Row],[Period 0]:[Period 12]])</f>
        <v>0</v>
      </c>
      <c r="R23" s="250"/>
    </row>
    <row r="24" spans="1:18" x14ac:dyDescent="0.2">
      <c r="A24" s="266" t="s">
        <v>170</v>
      </c>
      <c r="B24" s="251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67"/>
      <c r="Q24" s="250">
        <f>SUM(CashPaidOut[[#This Row],[Period 0]:[Period 12]])</f>
        <v>0</v>
      </c>
      <c r="R24" s="250"/>
    </row>
    <row r="25" spans="1:18" x14ac:dyDescent="0.2">
      <c r="A25" s="266" t="s">
        <v>187</v>
      </c>
      <c r="B25" s="251"/>
      <c r="C25" s="256"/>
      <c r="D25" s="256"/>
      <c r="E25" s="256"/>
      <c r="F25" s="273"/>
      <c r="G25" s="256"/>
      <c r="H25" s="256"/>
      <c r="I25" s="256"/>
      <c r="J25" s="256"/>
      <c r="K25" s="256"/>
      <c r="L25" s="256"/>
      <c r="M25" s="256"/>
      <c r="N25" s="256"/>
      <c r="O25" s="256"/>
      <c r="P25" s="274"/>
      <c r="Q25" s="250">
        <f>SUM(CashPaidOut[[#This Row],[Period 0]:[Period 12]])</f>
        <v>0</v>
      </c>
      <c r="R25" s="250"/>
    </row>
    <row r="26" spans="1:18" x14ac:dyDescent="0.2">
      <c r="A26" s="266" t="s">
        <v>171</v>
      </c>
      <c r="B26" s="251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67"/>
      <c r="Q26" s="250">
        <f>SUM(CashPaidOut[[#This Row],[Period 0]:[Period 12]])</f>
        <v>0</v>
      </c>
      <c r="R26" s="250"/>
    </row>
    <row r="27" spans="1:18" x14ac:dyDescent="0.2">
      <c r="A27" s="266" t="s">
        <v>172</v>
      </c>
      <c r="B27" s="251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67"/>
      <c r="Q27" s="250">
        <f>SUM(CashPaidOut[[#This Row],[Period 0]:[Period 12]])</f>
        <v>0</v>
      </c>
      <c r="R27" s="250"/>
    </row>
    <row r="28" spans="1:18" x14ac:dyDescent="0.2">
      <c r="A28" s="266" t="s">
        <v>173</v>
      </c>
      <c r="B28" s="251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67"/>
      <c r="Q28" s="250">
        <f>SUM(CashPaidOut[[#This Row],[Period 0]:[Period 12]])</f>
        <v>0</v>
      </c>
      <c r="R28" s="250"/>
    </row>
    <row r="29" spans="1:18" x14ac:dyDescent="0.2">
      <c r="A29" s="266" t="s">
        <v>176</v>
      </c>
      <c r="B29" s="251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67"/>
      <c r="Q29" s="250">
        <f>SUM(CashPaidOut[[#This Row],[Period 0]:[Period 12]])</f>
        <v>0</v>
      </c>
      <c r="R29" s="250"/>
    </row>
    <row r="30" spans="1:18" x14ac:dyDescent="0.2">
      <c r="A30" s="266" t="s">
        <v>184</v>
      </c>
      <c r="B30" s="251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67"/>
      <c r="Q30" s="250">
        <f>SUM(CashPaidOut[[#This Row],[Period 0]:[Period 12]])</f>
        <v>0</v>
      </c>
      <c r="R30" s="250"/>
    </row>
    <row r="31" spans="1:18" x14ac:dyDescent="0.2">
      <c r="A31" s="266" t="s">
        <v>138</v>
      </c>
      <c r="B31" s="251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67"/>
      <c r="Q31" s="250">
        <f>SUM(CashPaidOut[[#This Row],[Period 0]:[Period 12]])</f>
        <v>0</v>
      </c>
      <c r="R31" s="250"/>
    </row>
    <row r="32" spans="1:18" x14ac:dyDescent="0.2">
      <c r="A32" s="266" t="s">
        <v>177</v>
      </c>
      <c r="B32" s="251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68"/>
      <c r="Q32" s="250">
        <f>SUM(CashPaidOut[[#This Row],[Period 0]:[Period 12]])</f>
        <v>0</v>
      </c>
      <c r="R32" s="250"/>
    </row>
    <row r="33" spans="1:18" x14ac:dyDescent="0.2">
      <c r="A33" s="266" t="s">
        <v>183</v>
      </c>
      <c r="B33" s="251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68"/>
      <c r="Q33" s="250">
        <f>SUM(CashPaidOut[[#This Row],[Period 0]:[Period 12]])</f>
        <v>0</v>
      </c>
      <c r="R33" s="250"/>
    </row>
    <row r="34" spans="1:18" x14ac:dyDescent="0.2">
      <c r="A34" s="266" t="s">
        <v>182</v>
      </c>
      <c r="B34" s="251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67"/>
      <c r="Q34" s="250">
        <f>SUM(CashPaidOut[[#This Row],[Period 0]:[Period 12]])</f>
        <v>0</v>
      </c>
      <c r="R34" s="250"/>
    </row>
    <row r="35" spans="1:18" ht="30" x14ac:dyDescent="0.2">
      <c r="A35" s="272" t="s">
        <v>192</v>
      </c>
      <c r="B35" s="251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68"/>
      <c r="Q35" s="250">
        <f>SUM(CashPaidOut[[#This Row],[Period 0]:[Period 12]])</f>
        <v>0</v>
      </c>
      <c r="R35" s="250"/>
    </row>
    <row r="36" spans="1:18" x14ac:dyDescent="0.2">
      <c r="A36" s="266" t="s">
        <v>178</v>
      </c>
      <c r="B36" s="251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68"/>
      <c r="Q36" s="250">
        <f>SUM(CashPaidOut[[#This Row],[Period 0]:[Period 12]])</f>
        <v>0</v>
      </c>
      <c r="R36" s="250"/>
    </row>
    <row r="37" spans="1:18" x14ac:dyDescent="0.2">
      <c r="A37" s="266" t="s">
        <v>179</v>
      </c>
      <c r="B37" s="251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68"/>
      <c r="Q37" s="250">
        <f>SUM(CashPaidOut[[#This Row],[Period 0]:[Period 12]])</f>
        <v>0</v>
      </c>
      <c r="R37" s="250"/>
    </row>
    <row r="38" spans="1:18" x14ac:dyDescent="0.2">
      <c r="A38" s="266" t="s">
        <v>180</v>
      </c>
      <c r="B38" s="251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68"/>
      <c r="Q38" s="250">
        <f>SUM(CashPaidOut[[#This Row],[Period 0]:[Period 12]])</f>
        <v>0</v>
      </c>
      <c r="R38" s="250"/>
    </row>
    <row r="39" spans="1:18" x14ac:dyDescent="0.2">
      <c r="A39" s="266" t="s">
        <v>189</v>
      </c>
      <c r="B39" s="251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67"/>
      <c r="Q39" s="250">
        <f>SUM(CashPaidOut[[#This Row],[Period 0]:[Period 12]])</f>
        <v>0</v>
      </c>
      <c r="R39" s="250"/>
    </row>
    <row r="40" spans="1:18" x14ac:dyDescent="0.2">
      <c r="A40" s="266" t="s">
        <v>181</v>
      </c>
      <c r="B40" s="251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68"/>
      <c r="Q40" s="250">
        <f>SUM(CashPaidOut[[#This Row],[Period 0]:[Period 12]])</f>
        <v>0</v>
      </c>
      <c r="R40" s="250"/>
    </row>
    <row r="41" spans="1:18" x14ac:dyDescent="0.2">
      <c r="A41" s="269" t="s">
        <v>193</v>
      </c>
      <c r="B41" s="251"/>
      <c r="C41" s="250">
        <f>SUBTOTAL(109,CashPaidOut[Period 0])</f>
        <v>0</v>
      </c>
      <c r="D41" s="250">
        <f>SUBTOTAL(109,CashPaidOut[Period 1])</f>
        <v>0</v>
      </c>
      <c r="E41" s="250">
        <f>SUBTOTAL(109,CashPaidOut[Period 2])</f>
        <v>0</v>
      </c>
      <c r="F41" s="250">
        <f>SUBTOTAL(109,CashPaidOut[Period 3])</f>
        <v>0</v>
      </c>
      <c r="G41" s="250">
        <f>SUBTOTAL(109,CashPaidOut[Period 4])</f>
        <v>0</v>
      </c>
      <c r="H41" s="250">
        <f>SUBTOTAL(109,CashPaidOut[Period 5])</f>
        <v>0</v>
      </c>
      <c r="I41" s="250">
        <f>SUBTOTAL(109,CashPaidOut[Period 6])</f>
        <v>0</v>
      </c>
      <c r="J41" s="250">
        <f>SUBTOTAL(109,CashPaidOut[Period 7])</f>
        <v>0</v>
      </c>
      <c r="K41" s="250">
        <f>SUBTOTAL(109,CashPaidOut[Period 8])</f>
        <v>0</v>
      </c>
      <c r="L41" s="250">
        <f>SUBTOTAL(109,CashPaidOut[Period 9])</f>
        <v>0</v>
      </c>
      <c r="M41" s="250">
        <f>SUBTOTAL(109,CashPaidOut[Period 10])</f>
        <v>0</v>
      </c>
      <c r="N41" s="250">
        <f>SUBTOTAL(109,CashPaidOut[Period 11])</f>
        <v>0</v>
      </c>
      <c r="O41" s="250">
        <f>SUBTOTAL(109,CashPaidOut[Period 12])</f>
        <v>0</v>
      </c>
      <c r="P41" s="268"/>
      <c r="Q41" s="250">
        <f>SUBTOTAL(109,CashPaidOut[Total])</f>
        <v>0</v>
      </c>
      <c r="R41" s="230"/>
    </row>
    <row r="42" spans="1:18" x14ac:dyDescent="0.2">
      <c r="A42" s="285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</row>
    <row r="43" spans="1:18" x14ac:dyDescent="0.2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</row>
    <row r="44" spans="1:18" ht="16" thickBot="1" x14ac:dyDescent="0.25">
      <c r="A44" s="275" t="s">
        <v>198</v>
      </c>
      <c r="B44" s="261"/>
      <c r="C44" s="270">
        <f t="shared" ref="C44:O44" si="1">C13-C41</f>
        <v>0</v>
      </c>
      <c r="D44" s="270">
        <f t="shared" si="1"/>
        <v>0</v>
      </c>
      <c r="E44" s="270">
        <f t="shared" si="1"/>
        <v>0</v>
      </c>
      <c r="F44" s="270">
        <f t="shared" si="1"/>
        <v>0</v>
      </c>
      <c r="G44" s="270">
        <f t="shared" si="1"/>
        <v>0</v>
      </c>
      <c r="H44" s="270">
        <f t="shared" si="1"/>
        <v>0</v>
      </c>
      <c r="I44" s="270">
        <f t="shared" si="1"/>
        <v>0</v>
      </c>
      <c r="J44" s="270">
        <f t="shared" si="1"/>
        <v>0</v>
      </c>
      <c r="K44" s="270">
        <f t="shared" si="1"/>
        <v>0</v>
      </c>
      <c r="L44" s="270">
        <f t="shared" si="1"/>
        <v>0</v>
      </c>
      <c r="M44" s="270">
        <f t="shared" si="1"/>
        <v>0</v>
      </c>
      <c r="N44" s="270">
        <f t="shared" si="1"/>
        <v>0</v>
      </c>
      <c r="O44" s="270">
        <f t="shared" si="1"/>
        <v>0</v>
      </c>
      <c r="P44" s="261"/>
      <c r="Q44" s="270">
        <f>Q13-Q41</f>
        <v>0</v>
      </c>
      <c r="R44" s="271"/>
    </row>
    <row r="45" spans="1:18" x14ac:dyDescent="0.2">
      <c r="A45" s="230"/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</row>
  </sheetData>
  <mergeCells count="3">
    <mergeCell ref="A14:R14"/>
    <mergeCell ref="A42:R42"/>
    <mergeCell ref="A43:R43"/>
  </mergeCells>
  <conditionalFormatting sqref="D13:O13">
    <cfRule type="expression" dxfId="254" priority="1">
      <formula>D13&lt;0</formula>
    </cfRule>
  </conditionalFormatting>
  <conditionalFormatting sqref="D6:O6">
    <cfRule type="expression" dxfId="253" priority="3">
      <formula>D6&lt;0</formula>
    </cfRule>
  </conditionalFormatting>
  <conditionalFormatting sqref="D44:O44">
    <cfRule type="expression" dxfId="252" priority="2">
      <formula>D44&lt;0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r:id="rId1"/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20AE4F7A-77E9-41D8-AE25-AFD66DB5DF61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D6:Q6</xm:sqref>
        </x14:conditionalFormatting>
        <x14:conditionalFormatting xmlns:xm="http://schemas.microsoft.com/office/excel/2006/main">
          <x14:cfRule type="iconSet" priority="5" id="{B06DBFE8-C423-4331-9E42-473D33CF43E1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C13:Q13</xm:sqref>
        </x14:conditionalFormatting>
        <x14:conditionalFormatting xmlns:xm="http://schemas.microsoft.com/office/excel/2006/main">
          <x14:cfRule type="iconSet" priority="6" id="{286E7C3D-5034-4BC6-8864-B70FFB798B7D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Q44 C44:O44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8F8EE38F-0D48-457F-9631-31FC8B2088C0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'1yearcashflow'!C44:O44</xm:f>
              <xm:sqref>R44</xm:sqref>
            </x14:sparkline>
            <x14:sparkline>
              <xm:f>'1yearcashflow'!C13:O13</xm:f>
              <xm:sqref>R13</xm:sqref>
            </x14:sparkline>
            <x14:sparkline>
              <xm:f>'1yearcashflow'!C41:O41</xm:f>
              <xm:sqref>R41</xm:sqref>
            </x14:sparkline>
            <x14:sparkline>
              <xm:f>'1yearcashflow'!C6:O6</xm:f>
              <xm:sqref>R6</xm:sqref>
            </x14:sparkline>
            <x14:sparkline>
              <xm:f>'1yearcashflow'!C12:O12</xm:f>
              <xm:sqref>R12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0E5AB-BFE5-48C3-8072-B5239FD48829}">
  <dimension ref="A1:R45"/>
  <sheetViews>
    <sheetView workbookViewId="0">
      <selection activeCell="A15" sqref="A15"/>
    </sheetView>
  </sheetViews>
  <sheetFormatPr baseColWidth="10" defaultColWidth="8.83203125" defaultRowHeight="15" x14ac:dyDescent="0.2"/>
  <cols>
    <col min="1" max="1" width="33.6640625" customWidth="1"/>
    <col min="2" max="2" width="1.5" customWidth="1"/>
    <col min="3" max="3" width="9.5" customWidth="1"/>
    <col min="16" max="16" width="1.33203125" customWidth="1"/>
    <col min="17" max="17" width="9.6640625" customWidth="1"/>
  </cols>
  <sheetData>
    <row r="1" spans="1:18" ht="22" thickBot="1" x14ac:dyDescent="0.3">
      <c r="A1" s="225" t="s">
        <v>162</v>
      </c>
      <c r="B1" s="226"/>
      <c r="C1" s="226"/>
      <c r="D1" s="227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16" thickTop="1" x14ac:dyDescent="0.2">
      <c r="A2" s="229" t="s">
        <v>186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1"/>
      <c r="Q2" s="230"/>
      <c r="R2" s="230"/>
    </row>
    <row r="3" spans="1:18" ht="30" x14ac:dyDescent="0.2">
      <c r="A3" s="232" t="s">
        <v>164</v>
      </c>
      <c r="B3" s="233"/>
      <c r="C3" s="234" t="s">
        <v>165</v>
      </c>
      <c r="D3" s="235" t="str">
        <f>UPPER(TEXT(FiscalYearStartDate,"kkk"))</f>
        <v>SYYS</v>
      </c>
      <c r="E3" s="235" t="str">
        <f>UPPER(TEXT(EOMONTH(FiscalYearStartDate,1),"kkk"))</f>
        <v>LOKA</v>
      </c>
      <c r="F3" s="235" t="str">
        <f>UPPER(TEXT(EOMONTH(FiscalYearStartDate,2),"kkk"))</f>
        <v>MARRAS</v>
      </c>
      <c r="G3" s="235" t="str">
        <f>UPPER(TEXT(EOMONTH(FiscalYearStartDate,3),"kkk"))</f>
        <v>JOULU</v>
      </c>
      <c r="H3" s="235" t="str">
        <f>UPPER(TEXT(EOMONTH(FiscalYearStartDate,4),"kkk"))</f>
        <v>TAMMI</v>
      </c>
      <c r="I3" s="235" t="str">
        <f>UPPER(TEXT(EOMONTH(FiscalYearStartDate,5),"kkk"))</f>
        <v>HELMI</v>
      </c>
      <c r="J3" s="235" t="str">
        <f>UPPER(TEXT(EOMONTH(FiscalYearStartDate,6),"kkk"))</f>
        <v>MAALIS</v>
      </c>
      <c r="K3" s="235" t="str">
        <f>UPPER(TEXT(EOMONTH(FiscalYearStartDate,7),"kkk"))</f>
        <v>HUHTI</v>
      </c>
      <c r="L3" s="235" t="str">
        <f>UPPER(TEXT(EOMONTH(FiscalYearStartDate,8),"kkk"))</f>
        <v>TOUKO</v>
      </c>
      <c r="M3" s="235" t="str">
        <f>UPPER(TEXT(EOMONTH(FiscalYearStartDate,9),"kkk"))</f>
        <v>KESÄ</v>
      </c>
      <c r="N3" s="235" t="str">
        <f>UPPER(TEXT(EOMONTH(FiscalYearStartDate,10),"kkk"))</f>
        <v>HEINÄ</v>
      </c>
      <c r="O3" s="235" t="str">
        <f>UPPER(TEXT(EOMONTH(FiscalYearStartDate,11),"kkk"))</f>
        <v>ELO</v>
      </c>
      <c r="P3" s="236"/>
      <c r="Q3" s="234" t="s">
        <v>166</v>
      </c>
      <c r="R3" s="230"/>
    </row>
    <row r="4" spans="1:18" ht="31" thickBot="1" x14ac:dyDescent="0.25">
      <c r="A4" s="237">
        <v>43709</v>
      </c>
      <c r="B4" s="229"/>
      <c r="C4" s="238" t="s">
        <v>174</v>
      </c>
      <c r="D4" s="239">
        <v>1</v>
      </c>
      <c r="E4" s="239">
        <v>2</v>
      </c>
      <c r="F4" s="239">
        <v>3</v>
      </c>
      <c r="G4" s="239">
        <v>4</v>
      </c>
      <c r="H4" s="239">
        <v>5</v>
      </c>
      <c r="I4" s="239">
        <v>6</v>
      </c>
      <c r="J4" s="239">
        <v>7</v>
      </c>
      <c r="K4" s="239">
        <v>8</v>
      </c>
      <c r="L4" s="239">
        <v>9</v>
      </c>
      <c r="M4" s="239">
        <v>10</v>
      </c>
      <c r="N4" s="239">
        <v>11</v>
      </c>
      <c r="O4" s="239">
        <v>12</v>
      </c>
      <c r="P4" s="240"/>
      <c r="Q4" s="241" t="s">
        <v>161</v>
      </c>
      <c r="R4" s="230"/>
    </row>
    <row r="5" spans="1:18" ht="16" thickTop="1" x14ac:dyDescent="0.2">
      <c r="A5" s="242"/>
      <c r="B5" s="230"/>
      <c r="C5" s="243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43"/>
      <c r="R5" s="230"/>
    </row>
    <row r="6" spans="1:18" ht="16" thickBot="1" x14ac:dyDescent="0.25">
      <c r="A6" s="246" t="s">
        <v>197</v>
      </c>
      <c r="B6" s="230"/>
      <c r="C6" s="247">
        <f>'1yearcashflow'!O44</f>
        <v>0</v>
      </c>
      <c r="D6" s="247">
        <f>C44</f>
        <v>0</v>
      </c>
      <c r="E6" s="247">
        <f t="shared" ref="E6:O6" si="0">D44</f>
        <v>0</v>
      </c>
      <c r="F6" s="247">
        <f t="shared" si="0"/>
        <v>0</v>
      </c>
      <c r="G6" s="247">
        <f t="shared" si="0"/>
        <v>0</v>
      </c>
      <c r="H6" s="247">
        <f t="shared" si="0"/>
        <v>0</v>
      </c>
      <c r="I6" s="247">
        <f t="shared" si="0"/>
        <v>0</v>
      </c>
      <c r="J6" s="247">
        <f t="shared" si="0"/>
        <v>0</v>
      </c>
      <c r="K6" s="247">
        <f t="shared" si="0"/>
        <v>0</v>
      </c>
      <c r="L6" s="247">
        <f t="shared" si="0"/>
        <v>0</v>
      </c>
      <c r="M6" s="247">
        <f t="shared" si="0"/>
        <v>0</v>
      </c>
      <c r="N6" s="247">
        <f t="shared" si="0"/>
        <v>0</v>
      </c>
      <c r="O6" s="247">
        <f t="shared" si="0"/>
        <v>0</v>
      </c>
      <c r="P6" s="248"/>
      <c r="Q6" s="247">
        <f>O6</f>
        <v>0</v>
      </c>
      <c r="R6" s="249"/>
    </row>
    <row r="7" spans="1:18" x14ac:dyDescent="0.2">
      <c r="A7" s="230"/>
      <c r="B7" s="23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1"/>
      <c r="Q7" s="250"/>
      <c r="R7" s="230"/>
    </row>
    <row r="8" spans="1:18" ht="16" thickBot="1" x14ac:dyDescent="0.25">
      <c r="A8" s="252" t="s">
        <v>209</v>
      </c>
      <c r="B8" s="230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1"/>
      <c r="Q8" s="253"/>
      <c r="R8" s="254"/>
    </row>
    <row r="9" spans="1:18" ht="16" thickTop="1" x14ac:dyDescent="0.2">
      <c r="A9" s="255" t="s">
        <v>190</v>
      </c>
      <c r="B9" s="251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7"/>
      <c r="Q9" s="250">
        <f>SUM(CashReceipts2[[#This Row],[Period 0]:[Period 12]])</f>
        <v>0</v>
      </c>
      <c r="R9" s="230"/>
    </row>
    <row r="10" spans="1:18" x14ac:dyDescent="0.2">
      <c r="A10" s="255" t="s">
        <v>200</v>
      </c>
      <c r="B10" s="251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7"/>
      <c r="Q10" s="250">
        <f>SUM(CashReceipts2[[#This Row],[Period 0]:[Period 12]])</f>
        <v>0</v>
      </c>
      <c r="R10" s="230"/>
    </row>
    <row r="11" spans="1:18" x14ac:dyDescent="0.2">
      <c r="A11" s="255" t="s">
        <v>191</v>
      </c>
      <c r="B11" s="258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7"/>
      <c r="Q11" s="250">
        <f>SUM(CashReceipts2[[#This Row],[Period 0]:[Period 12]])</f>
        <v>0</v>
      </c>
      <c r="R11" s="230"/>
    </row>
    <row r="12" spans="1:18" ht="16" thickBot="1" x14ac:dyDescent="0.25">
      <c r="A12" s="255" t="s">
        <v>194</v>
      </c>
      <c r="B12" s="259"/>
      <c r="C12" s="250">
        <f>SUBTOTAL(109,CashReceipts2[Period 0])</f>
        <v>0</v>
      </c>
      <c r="D12" s="250">
        <f>SUBTOTAL(109,CashReceipts2[Period 1])</f>
        <v>0</v>
      </c>
      <c r="E12" s="250">
        <f>SUBTOTAL(109,CashReceipts2[Period 2])</f>
        <v>0</v>
      </c>
      <c r="F12" s="250">
        <f>SUBTOTAL(109,CashReceipts2[Period 3])</f>
        <v>0</v>
      </c>
      <c r="G12" s="250">
        <f>SUBTOTAL(109,CashReceipts2[Period 4])</f>
        <v>0</v>
      </c>
      <c r="H12" s="250">
        <f>SUBTOTAL(109,CashReceipts2[Period 5])</f>
        <v>0</v>
      </c>
      <c r="I12" s="250">
        <f>SUBTOTAL(109,CashReceipts2[Period 6])</f>
        <v>0</v>
      </c>
      <c r="J12" s="250">
        <f>SUBTOTAL(109,CashReceipts2[Period 7])</f>
        <v>0</v>
      </c>
      <c r="K12" s="250">
        <f>SUBTOTAL(109,CashReceipts2[Period 8])</f>
        <v>0</v>
      </c>
      <c r="L12" s="250">
        <f>SUBTOTAL(109,CashReceipts2[Period 9])</f>
        <v>0</v>
      </c>
      <c r="M12" s="250">
        <f>SUBTOTAL(109,CashReceipts2[Period 10])</f>
        <v>0</v>
      </c>
      <c r="N12" s="250">
        <f>SUBTOTAL(109,CashReceipts2[Period 11])</f>
        <v>0</v>
      </c>
      <c r="O12" s="250">
        <f>SUBTOTAL(109,CashReceipts2[Period 12])</f>
        <v>0</v>
      </c>
      <c r="P12" s="257"/>
      <c r="Q12" s="250">
        <f>SUBTOTAL(109,CashReceipts2[Total])</f>
        <v>0</v>
      </c>
      <c r="R12" s="230"/>
    </row>
    <row r="13" spans="1:18" ht="17" thickTop="1" thickBot="1" x14ac:dyDescent="0.25">
      <c r="A13" s="260" t="s">
        <v>199</v>
      </c>
      <c r="B13" s="261"/>
      <c r="C13" s="262">
        <f>C6+SUM(CashReceipts2[Period 0])</f>
        <v>0</v>
      </c>
      <c r="D13" s="262">
        <f>D6+SUM(CashReceipts2[Period 1])</f>
        <v>0</v>
      </c>
      <c r="E13" s="262">
        <f>E6+SUM(CashReceipts2[Period 2])</f>
        <v>0</v>
      </c>
      <c r="F13" s="262">
        <f>F6+SUM(CashReceipts2[Period 3])</f>
        <v>0</v>
      </c>
      <c r="G13" s="262">
        <f>G6+SUM(CashReceipts2[Period 4])</f>
        <v>0</v>
      </c>
      <c r="H13" s="262">
        <f>H6+SUM(CashReceipts2[Period 5])</f>
        <v>0</v>
      </c>
      <c r="I13" s="262">
        <f>I6+SUM(CashReceipts2[Period 6])</f>
        <v>0</v>
      </c>
      <c r="J13" s="262">
        <f>J6+SUM(CashReceipts2[Period 7])</f>
        <v>0</v>
      </c>
      <c r="K13" s="262">
        <f>K6+SUM(CashReceipts2[Period 8])</f>
        <v>0</v>
      </c>
      <c r="L13" s="262">
        <f>L6+SUM(CashReceipts2[Period 9])</f>
        <v>0</v>
      </c>
      <c r="M13" s="262">
        <f>M6+SUM(CashReceipts2[Period 10])</f>
        <v>0</v>
      </c>
      <c r="N13" s="262">
        <f>N6+SUM(CashReceipts2[Period 11])</f>
        <v>0</v>
      </c>
      <c r="O13" s="262">
        <f>O6+SUM(CashReceipts2[Period 12])</f>
        <v>0</v>
      </c>
      <c r="P13" s="263"/>
      <c r="Q13" s="262">
        <f>Q6+SUM(CashReceipts2[Total])</f>
        <v>0</v>
      </c>
      <c r="R13" s="264"/>
    </row>
    <row r="14" spans="1:18" x14ac:dyDescent="0.2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</row>
    <row r="15" spans="1:18" ht="16" thickBot="1" x14ac:dyDescent="0.25">
      <c r="A15" s="265" t="s">
        <v>208</v>
      </c>
      <c r="B15" s="251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1"/>
      <c r="Q15" s="254"/>
      <c r="R15" s="254"/>
    </row>
    <row r="16" spans="1:18" ht="16" thickTop="1" x14ac:dyDescent="0.2">
      <c r="A16" s="266" t="s">
        <v>142</v>
      </c>
      <c r="B16" s="251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67"/>
      <c r="Q16" s="250">
        <f>SUM(CashPaidOut3[[#This Row],[Period 0]:[Period 12]])</f>
        <v>0</v>
      </c>
      <c r="R16" s="250"/>
    </row>
    <row r="17" spans="1:18" x14ac:dyDescent="0.2">
      <c r="A17" s="266" t="s">
        <v>196</v>
      </c>
      <c r="B17" s="251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67"/>
      <c r="Q17" s="250">
        <f>SUM(CashPaidOut3[[#This Row],[Period 0]:[Period 12]])</f>
        <v>0</v>
      </c>
      <c r="R17" s="250"/>
    </row>
    <row r="18" spans="1:18" x14ac:dyDescent="0.2">
      <c r="A18" s="266" t="s">
        <v>185</v>
      </c>
      <c r="B18" s="251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67"/>
      <c r="Q18" s="250">
        <f>SUM(CashPaidOut3[[#This Row],[Period 0]:[Period 12]])</f>
        <v>0</v>
      </c>
      <c r="R18" s="250"/>
    </row>
    <row r="19" spans="1:18" x14ac:dyDescent="0.2">
      <c r="A19" s="266" t="s">
        <v>167</v>
      </c>
      <c r="B19" s="251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67"/>
      <c r="Q19" s="250">
        <f>SUM(CashPaidOut3[[#This Row],[Period 0]:[Period 12]])</f>
        <v>0</v>
      </c>
      <c r="R19" s="250"/>
    </row>
    <row r="20" spans="1:18" x14ac:dyDescent="0.2">
      <c r="A20" s="266" t="s">
        <v>168</v>
      </c>
      <c r="B20" s="251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67"/>
      <c r="Q20" s="250">
        <f>SUM(CashPaidOut3[[#This Row],[Period 0]:[Period 12]])</f>
        <v>0</v>
      </c>
      <c r="R20" s="250"/>
    </row>
    <row r="21" spans="1:18" x14ac:dyDescent="0.2">
      <c r="A21" s="266" t="s">
        <v>195</v>
      </c>
      <c r="B21" s="251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67"/>
      <c r="Q21" s="250">
        <f>SUM(CashPaidOut3[[#This Row],[Period 0]:[Period 12]])</f>
        <v>0</v>
      </c>
      <c r="R21" s="250"/>
    </row>
    <row r="22" spans="1:18" x14ac:dyDescent="0.2">
      <c r="A22" s="266" t="s">
        <v>175</v>
      </c>
      <c r="B22" s="251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67"/>
      <c r="Q22" s="250">
        <f>SUM(CashPaidOut3[[#This Row],[Period 0]:[Period 12]])</f>
        <v>0</v>
      </c>
      <c r="R22" s="250"/>
    </row>
    <row r="23" spans="1:18" x14ac:dyDescent="0.2">
      <c r="A23" s="266" t="s">
        <v>169</v>
      </c>
      <c r="B23" s="251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67"/>
      <c r="Q23" s="250">
        <f>SUM(CashPaidOut3[[#This Row],[Period 0]:[Period 12]])</f>
        <v>0</v>
      </c>
      <c r="R23" s="250"/>
    </row>
    <row r="24" spans="1:18" x14ac:dyDescent="0.2">
      <c r="A24" s="266" t="s">
        <v>170</v>
      </c>
      <c r="B24" s="251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67"/>
      <c r="Q24" s="250">
        <f>SUM(CashPaidOut3[[#This Row],[Period 0]:[Period 12]])</f>
        <v>0</v>
      </c>
      <c r="R24" s="250"/>
    </row>
    <row r="25" spans="1:18" x14ac:dyDescent="0.2">
      <c r="A25" s="266" t="s">
        <v>187</v>
      </c>
      <c r="B25" s="251"/>
      <c r="C25" s="256"/>
      <c r="D25" s="256"/>
      <c r="E25" s="256"/>
      <c r="F25" s="273"/>
      <c r="G25" s="256"/>
      <c r="H25" s="256"/>
      <c r="I25" s="256"/>
      <c r="J25" s="256"/>
      <c r="K25" s="256"/>
      <c r="L25" s="256"/>
      <c r="M25" s="256"/>
      <c r="N25" s="256"/>
      <c r="O25" s="256"/>
      <c r="P25" s="274"/>
      <c r="Q25" s="250">
        <f>SUM(CashPaidOut3[[#This Row],[Period 0]:[Period 12]])</f>
        <v>0</v>
      </c>
      <c r="R25" s="250"/>
    </row>
    <row r="26" spans="1:18" x14ac:dyDescent="0.2">
      <c r="A26" s="266" t="s">
        <v>171</v>
      </c>
      <c r="B26" s="251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67"/>
      <c r="Q26" s="250">
        <f>SUM(CashPaidOut3[[#This Row],[Period 0]:[Period 12]])</f>
        <v>0</v>
      </c>
      <c r="R26" s="250"/>
    </row>
    <row r="27" spans="1:18" x14ac:dyDescent="0.2">
      <c r="A27" s="266" t="s">
        <v>172</v>
      </c>
      <c r="B27" s="251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67"/>
      <c r="Q27" s="250">
        <f>SUM(CashPaidOut3[[#This Row],[Period 0]:[Period 12]])</f>
        <v>0</v>
      </c>
      <c r="R27" s="250"/>
    </row>
    <row r="28" spans="1:18" x14ac:dyDescent="0.2">
      <c r="A28" s="266" t="s">
        <v>173</v>
      </c>
      <c r="B28" s="251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67"/>
      <c r="Q28" s="250">
        <f>SUM(CashPaidOut3[[#This Row],[Period 0]:[Period 12]])</f>
        <v>0</v>
      </c>
      <c r="R28" s="250"/>
    </row>
    <row r="29" spans="1:18" x14ac:dyDescent="0.2">
      <c r="A29" s="266" t="s">
        <v>176</v>
      </c>
      <c r="B29" s="251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67"/>
      <c r="Q29" s="250">
        <f>SUM(CashPaidOut3[[#This Row],[Period 0]:[Period 12]])</f>
        <v>0</v>
      </c>
      <c r="R29" s="250"/>
    </row>
    <row r="30" spans="1:18" x14ac:dyDescent="0.2">
      <c r="A30" s="266" t="s">
        <v>184</v>
      </c>
      <c r="B30" s="251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67"/>
      <c r="Q30" s="250">
        <f>SUM(CashPaidOut3[[#This Row],[Period 0]:[Period 12]])</f>
        <v>0</v>
      </c>
      <c r="R30" s="250"/>
    </row>
    <row r="31" spans="1:18" x14ac:dyDescent="0.2">
      <c r="A31" s="266" t="s">
        <v>138</v>
      </c>
      <c r="B31" s="251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67"/>
      <c r="Q31" s="250">
        <f>SUM(CashPaidOut3[[#This Row],[Period 0]:[Period 12]])</f>
        <v>0</v>
      </c>
      <c r="R31" s="250"/>
    </row>
    <row r="32" spans="1:18" x14ac:dyDescent="0.2">
      <c r="A32" s="266" t="s">
        <v>177</v>
      </c>
      <c r="B32" s="251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68"/>
      <c r="Q32" s="250">
        <f>SUM(CashPaidOut3[[#This Row],[Period 0]:[Period 12]])</f>
        <v>0</v>
      </c>
      <c r="R32" s="250"/>
    </row>
    <row r="33" spans="1:18" x14ac:dyDescent="0.2">
      <c r="A33" s="266" t="s">
        <v>183</v>
      </c>
      <c r="B33" s="251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68"/>
      <c r="Q33" s="250">
        <f>SUM(CashPaidOut3[[#This Row],[Period 0]:[Period 12]])</f>
        <v>0</v>
      </c>
      <c r="R33" s="250"/>
    </row>
    <row r="34" spans="1:18" x14ac:dyDescent="0.2">
      <c r="A34" s="266" t="s">
        <v>182</v>
      </c>
      <c r="B34" s="251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67"/>
      <c r="Q34" s="250">
        <f>SUM(CashPaidOut3[[#This Row],[Period 0]:[Period 12]])</f>
        <v>0</v>
      </c>
      <c r="R34" s="250"/>
    </row>
    <row r="35" spans="1:18" ht="30" x14ac:dyDescent="0.2">
      <c r="A35" s="272" t="s">
        <v>192</v>
      </c>
      <c r="B35" s="251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68"/>
      <c r="Q35" s="250">
        <f>SUM(CashPaidOut3[[#This Row],[Period 0]:[Period 12]])</f>
        <v>0</v>
      </c>
      <c r="R35" s="250"/>
    </row>
    <row r="36" spans="1:18" x14ac:dyDescent="0.2">
      <c r="A36" s="266" t="s">
        <v>178</v>
      </c>
      <c r="B36" s="251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68"/>
      <c r="Q36" s="250">
        <f>SUM(CashPaidOut3[[#This Row],[Period 0]:[Period 12]])</f>
        <v>0</v>
      </c>
      <c r="R36" s="250"/>
    </row>
    <row r="37" spans="1:18" x14ac:dyDescent="0.2">
      <c r="A37" s="266" t="s">
        <v>179</v>
      </c>
      <c r="B37" s="251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68"/>
      <c r="Q37" s="250">
        <f>SUM(CashPaidOut3[[#This Row],[Period 0]:[Period 12]])</f>
        <v>0</v>
      </c>
      <c r="R37" s="250"/>
    </row>
    <row r="38" spans="1:18" x14ac:dyDescent="0.2">
      <c r="A38" s="266" t="s">
        <v>180</v>
      </c>
      <c r="B38" s="251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68"/>
      <c r="Q38" s="250">
        <f>SUM(CashPaidOut3[[#This Row],[Period 0]:[Period 12]])</f>
        <v>0</v>
      </c>
      <c r="R38" s="250"/>
    </row>
    <row r="39" spans="1:18" x14ac:dyDescent="0.2">
      <c r="A39" s="266" t="s">
        <v>189</v>
      </c>
      <c r="B39" s="251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67"/>
      <c r="Q39" s="250">
        <f>SUM(CashPaidOut3[[#This Row],[Period 0]:[Period 12]])</f>
        <v>0</v>
      </c>
      <c r="R39" s="250"/>
    </row>
    <row r="40" spans="1:18" x14ac:dyDescent="0.2">
      <c r="A40" s="266" t="s">
        <v>181</v>
      </c>
      <c r="B40" s="251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68"/>
      <c r="Q40" s="250">
        <f>SUM(CashPaidOut3[[#This Row],[Period 0]:[Period 12]])</f>
        <v>0</v>
      </c>
      <c r="R40" s="250"/>
    </row>
    <row r="41" spans="1:18" x14ac:dyDescent="0.2">
      <c r="A41" s="269" t="s">
        <v>193</v>
      </c>
      <c r="B41" s="251"/>
      <c r="C41" s="250">
        <f>SUBTOTAL(109,CashPaidOut3[Period 0])</f>
        <v>0</v>
      </c>
      <c r="D41" s="250">
        <f>SUBTOTAL(109,CashPaidOut3[Period 1])</f>
        <v>0</v>
      </c>
      <c r="E41" s="250">
        <f>SUBTOTAL(109,CashPaidOut3[Period 2])</f>
        <v>0</v>
      </c>
      <c r="F41" s="250">
        <f>SUBTOTAL(109,CashPaidOut3[Period 3])</f>
        <v>0</v>
      </c>
      <c r="G41" s="250">
        <f>SUBTOTAL(109,CashPaidOut3[Period 4])</f>
        <v>0</v>
      </c>
      <c r="H41" s="250">
        <f>SUBTOTAL(109,CashPaidOut3[Period 5])</f>
        <v>0</v>
      </c>
      <c r="I41" s="250">
        <f>SUBTOTAL(109,CashPaidOut3[Period 6])</f>
        <v>0</v>
      </c>
      <c r="J41" s="250">
        <f>SUBTOTAL(109,CashPaidOut3[Period 7])</f>
        <v>0</v>
      </c>
      <c r="K41" s="250">
        <f>SUBTOTAL(109,CashPaidOut3[Period 8])</f>
        <v>0</v>
      </c>
      <c r="L41" s="250">
        <f>SUBTOTAL(109,CashPaidOut3[Period 9])</f>
        <v>0</v>
      </c>
      <c r="M41" s="250">
        <f>SUBTOTAL(109,CashPaidOut3[Period 10])</f>
        <v>0</v>
      </c>
      <c r="N41" s="250">
        <f>SUBTOTAL(109,CashPaidOut3[Period 11])</f>
        <v>0</v>
      </c>
      <c r="O41" s="250">
        <f>SUBTOTAL(109,CashPaidOut3[Period 12])</f>
        <v>0</v>
      </c>
      <c r="P41" s="268"/>
      <c r="Q41" s="250">
        <f>SUBTOTAL(109,CashPaidOut3[Total])</f>
        <v>0</v>
      </c>
      <c r="R41" s="230"/>
    </row>
    <row r="42" spans="1:18" x14ac:dyDescent="0.2">
      <c r="A42" s="285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</row>
    <row r="43" spans="1:18" x14ac:dyDescent="0.2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</row>
    <row r="44" spans="1:18" ht="16" thickBot="1" x14ac:dyDescent="0.25">
      <c r="A44" s="275" t="s">
        <v>198</v>
      </c>
      <c r="B44" s="261"/>
      <c r="C44" s="270">
        <f t="shared" ref="C44:O44" si="1">C13-C41</f>
        <v>0</v>
      </c>
      <c r="D44" s="270">
        <f t="shared" si="1"/>
        <v>0</v>
      </c>
      <c r="E44" s="270">
        <f t="shared" si="1"/>
        <v>0</v>
      </c>
      <c r="F44" s="270">
        <f t="shared" si="1"/>
        <v>0</v>
      </c>
      <c r="G44" s="270">
        <f t="shared" si="1"/>
        <v>0</v>
      </c>
      <c r="H44" s="270">
        <f t="shared" si="1"/>
        <v>0</v>
      </c>
      <c r="I44" s="270">
        <f t="shared" si="1"/>
        <v>0</v>
      </c>
      <c r="J44" s="270">
        <f t="shared" si="1"/>
        <v>0</v>
      </c>
      <c r="K44" s="270">
        <f t="shared" si="1"/>
        <v>0</v>
      </c>
      <c r="L44" s="270">
        <f t="shared" si="1"/>
        <v>0</v>
      </c>
      <c r="M44" s="270">
        <f t="shared" si="1"/>
        <v>0</v>
      </c>
      <c r="N44" s="270">
        <f t="shared" si="1"/>
        <v>0</v>
      </c>
      <c r="O44" s="270">
        <f t="shared" si="1"/>
        <v>0</v>
      </c>
      <c r="P44" s="261"/>
      <c r="Q44" s="270">
        <f>Q13-Q41</f>
        <v>0</v>
      </c>
      <c r="R44" s="271"/>
    </row>
    <row r="45" spans="1:18" x14ac:dyDescent="0.2">
      <c r="A45" s="230"/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</row>
  </sheetData>
  <mergeCells count="3">
    <mergeCell ref="A14:R14"/>
    <mergeCell ref="A42:R42"/>
    <mergeCell ref="A43:R43"/>
  </mergeCells>
  <conditionalFormatting sqref="D13:O13">
    <cfRule type="expression" dxfId="169" priority="1">
      <formula>D13&lt;0</formula>
    </cfRule>
  </conditionalFormatting>
  <conditionalFormatting sqref="D6:O6">
    <cfRule type="expression" dxfId="168" priority="3">
      <formula>D6&lt;0</formula>
    </cfRule>
  </conditionalFormatting>
  <conditionalFormatting sqref="D44:O44">
    <cfRule type="expression" dxfId="167" priority="2">
      <formula>D44&lt;0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r:id="rId1"/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C8C96058-04A2-4DF7-A45C-535C03207A21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D6:Q6</xm:sqref>
        </x14:conditionalFormatting>
        <x14:conditionalFormatting xmlns:xm="http://schemas.microsoft.com/office/excel/2006/main">
          <x14:cfRule type="iconSet" priority="5" id="{22D2D978-B631-45C1-A2F5-F765ED02227E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C13:Q13</xm:sqref>
        </x14:conditionalFormatting>
        <x14:conditionalFormatting xmlns:xm="http://schemas.microsoft.com/office/excel/2006/main">
          <x14:cfRule type="iconSet" priority="6" id="{A443A549-5891-453E-9DB9-E38C50A039BD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Q44 C44:O44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A5B44B92-B2C2-429D-879F-040D3532D6A1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'2yearcashflow'!C44:O44</xm:f>
              <xm:sqref>R44</xm:sqref>
            </x14:sparkline>
            <x14:sparkline>
              <xm:f>'2yearcashflow'!C13:O13</xm:f>
              <xm:sqref>R13</xm:sqref>
            </x14:sparkline>
            <x14:sparkline>
              <xm:f>'2yearcashflow'!C41:O41</xm:f>
              <xm:sqref>R41</xm:sqref>
            </x14:sparkline>
            <x14:sparkline>
              <xm:f>'2yearcashflow'!C6:O6</xm:f>
              <xm:sqref>R6</xm:sqref>
            </x14:sparkline>
            <x14:sparkline>
              <xm:f>'2yearcashflow'!C12:O12</xm:f>
              <xm:sqref>R12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0F81D-C00D-4A0A-A76B-7F450889A152}">
  <dimension ref="A1:R45"/>
  <sheetViews>
    <sheetView workbookViewId="0">
      <selection activeCell="U24" sqref="U24"/>
    </sheetView>
  </sheetViews>
  <sheetFormatPr baseColWidth="10" defaultColWidth="8.83203125" defaultRowHeight="15" x14ac:dyDescent="0.2"/>
  <cols>
    <col min="1" max="1" width="33.6640625" customWidth="1"/>
    <col min="2" max="2" width="1.5" customWidth="1"/>
    <col min="3" max="3" width="9.5" customWidth="1"/>
    <col min="16" max="16" width="1.33203125" customWidth="1"/>
    <col min="17" max="17" width="9.6640625" customWidth="1"/>
  </cols>
  <sheetData>
    <row r="1" spans="1:18" ht="22" thickBot="1" x14ac:dyDescent="0.3">
      <c r="A1" s="225" t="s">
        <v>162</v>
      </c>
      <c r="B1" s="226"/>
      <c r="C1" s="226"/>
      <c r="D1" s="227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16" thickTop="1" x14ac:dyDescent="0.2">
      <c r="A2" s="229" t="s">
        <v>186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1"/>
      <c r="Q2" s="230"/>
      <c r="R2" s="230"/>
    </row>
    <row r="3" spans="1:18" ht="30" x14ac:dyDescent="0.2">
      <c r="A3" s="232" t="s">
        <v>164</v>
      </c>
      <c r="B3" s="233"/>
      <c r="C3" s="234" t="s">
        <v>165</v>
      </c>
      <c r="D3" s="235" t="str">
        <f>UPPER(TEXT(FiscalYearStartDate,"kkk"))</f>
        <v>SYYS</v>
      </c>
      <c r="E3" s="235" t="str">
        <f>UPPER(TEXT(EOMONTH(FiscalYearStartDate,1),"kkk"))</f>
        <v>LOKA</v>
      </c>
      <c r="F3" s="235" t="str">
        <f>UPPER(TEXT(EOMONTH(FiscalYearStartDate,2),"kkk"))</f>
        <v>MARRAS</v>
      </c>
      <c r="G3" s="235" t="str">
        <f>UPPER(TEXT(EOMONTH(FiscalYearStartDate,3),"kkk"))</f>
        <v>JOULU</v>
      </c>
      <c r="H3" s="235" t="str">
        <f>UPPER(TEXT(EOMONTH(FiscalYearStartDate,4),"kkk"))</f>
        <v>TAMMI</v>
      </c>
      <c r="I3" s="235" t="str">
        <f>UPPER(TEXT(EOMONTH(FiscalYearStartDate,5),"kkk"))</f>
        <v>HELMI</v>
      </c>
      <c r="J3" s="235" t="str">
        <f>UPPER(TEXT(EOMONTH(FiscalYearStartDate,6),"kkk"))</f>
        <v>MAALIS</v>
      </c>
      <c r="K3" s="235" t="str">
        <f>UPPER(TEXT(EOMONTH(FiscalYearStartDate,7),"kkk"))</f>
        <v>HUHTI</v>
      </c>
      <c r="L3" s="235" t="str">
        <f>UPPER(TEXT(EOMONTH(FiscalYearStartDate,8),"kkk"))</f>
        <v>TOUKO</v>
      </c>
      <c r="M3" s="235" t="str">
        <f>UPPER(TEXT(EOMONTH(FiscalYearStartDate,9),"kkk"))</f>
        <v>KESÄ</v>
      </c>
      <c r="N3" s="235" t="str">
        <f>UPPER(TEXT(EOMONTH(FiscalYearStartDate,10),"kkk"))</f>
        <v>HEINÄ</v>
      </c>
      <c r="O3" s="235" t="str">
        <f>UPPER(TEXT(EOMONTH(FiscalYearStartDate,11),"kkk"))</f>
        <v>ELO</v>
      </c>
      <c r="P3" s="236"/>
      <c r="Q3" s="234" t="s">
        <v>166</v>
      </c>
      <c r="R3" s="230"/>
    </row>
    <row r="4" spans="1:18" ht="31" thickBot="1" x14ac:dyDescent="0.25">
      <c r="A4" s="237">
        <v>43709</v>
      </c>
      <c r="B4" s="229"/>
      <c r="C4" s="238" t="s">
        <v>174</v>
      </c>
      <c r="D4" s="239">
        <v>1</v>
      </c>
      <c r="E4" s="239">
        <v>2</v>
      </c>
      <c r="F4" s="239">
        <v>3</v>
      </c>
      <c r="G4" s="239">
        <v>4</v>
      </c>
      <c r="H4" s="239">
        <v>5</v>
      </c>
      <c r="I4" s="239">
        <v>6</v>
      </c>
      <c r="J4" s="239">
        <v>7</v>
      </c>
      <c r="K4" s="239">
        <v>8</v>
      </c>
      <c r="L4" s="239">
        <v>9</v>
      </c>
      <c r="M4" s="239">
        <v>10</v>
      </c>
      <c r="N4" s="239">
        <v>11</v>
      </c>
      <c r="O4" s="239">
        <v>12</v>
      </c>
      <c r="P4" s="240"/>
      <c r="Q4" s="241" t="s">
        <v>161</v>
      </c>
      <c r="R4" s="230"/>
    </row>
    <row r="5" spans="1:18" ht="16" thickTop="1" x14ac:dyDescent="0.2">
      <c r="A5" s="242"/>
      <c r="B5" s="230"/>
      <c r="C5" s="243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43"/>
      <c r="R5" s="230"/>
    </row>
    <row r="6" spans="1:18" ht="16" thickBot="1" x14ac:dyDescent="0.25">
      <c r="A6" s="246" t="s">
        <v>197</v>
      </c>
      <c r="B6" s="230"/>
      <c r="C6" s="247">
        <f>'2yearcashflow'!O44</f>
        <v>0</v>
      </c>
      <c r="D6" s="247">
        <f>C44</f>
        <v>0</v>
      </c>
      <c r="E6" s="247">
        <f t="shared" ref="E6:O6" si="0">D44</f>
        <v>0</v>
      </c>
      <c r="F6" s="247">
        <f t="shared" si="0"/>
        <v>0</v>
      </c>
      <c r="G6" s="247">
        <f t="shared" si="0"/>
        <v>0</v>
      </c>
      <c r="H6" s="247">
        <f t="shared" si="0"/>
        <v>0</v>
      </c>
      <c r="I6" s="247">
        <f t="shared" si="0"/>
        <v>0</v>
      </c>
      <c r="J6" s="247">
        <f t="shared" si="0"/>
        <v>0</v>
      </c>
      <c r="K6" s="247">
        <f t="shared" si="0"/>
        <v>0</v>
      </c>
      <c r="L6" s="247">
        <f t="shared" si="0"/>
        <v>0</v>
      </c>
      <c r="M6" s="247">
        <f t="shared" si="0"/>
        <v>0</v>
      </c>
      <c r="N6" s="247">
        <f t="shared" si="0"/>
        <v>0</v>
      </c>
      <c r="O6" s="247">
        <f t="shared" si="0"/>
        <v>0</v>
      </c>
      <c r="P6" s="248"/>
      <c r="Q6" s="247">
        <f>O6</f>
        <v>0</v>
      </c>
      <c r="R6" s="249"/>
    </row>
    <row r="7" spans="1:18" x14ac:dyDescent="0.2">
      <c r="A7" s="230"/>
      <c r="B7" s="23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1"/>
      <c r="Q7" s="250"/>
      <c r="R7" s="230"/>
    </row>
    <row r="8" spans="1:18" ht="16" thickBot="1" x14ac:dyDescent="0.25">
      <c r="A8" s="252" t="s">
        <v>209</v>
      </c>
      <c r="B8" s="230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1"/>
      <c r="Q8" s="253"/>
      <c r="R8" s="254"/>
    </row>
    <row r="9" spans="1:18" ht="16" thickTop="1" x14ac:dyDescent="0.2">
      <c r="A9" s="255" t="s">
        <v>190</v>
      </c>
      <c r="B9" s="251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7"/>
      <c r="Q9" s="250">
        <f>SUM(CashReceipts24[[#This Row],[Period 0]:[Period 12]])</f>
        <v>0</v>
      </c>
      <c r="R9" s="230"/>
    </row>
    <row r="10" spans="1:18" x14ac:dyDescent="0.2">
      <c r="A10" s="255" t="s">
        <v>200</v>
      </c>
      <c r="B10" s="251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7"/>
      <c r="Q10" s="250">
        <f>SUM(CashReceipts24[[#This Row],[Period 0]:[Period 12]])</f>
        <v>0</v>
      </c>
      <c r="R10" s="230"/>
    </row>
    <row r="11" spans="1:18" x14ac:dyDescent="0.2">
      <c r="A11" s="255" t="s">
        <v>191</v>
      </c>
      <c r="B11" s="258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7"/>
      <c r="Q11" s="250">
        <f>SUM(CashReceipts24[[#This Row],[Period 0]:[Period 12]])</f>
        <v>0</v>
      </c>
      <c r="R11" s="230"/>
    </row>
    <row r="12" spans="1:18" ht="16" thickBot="1" x14ac:dyDescent="0.25">
      <c r="A12" s="255" t="s">
        <v>194</v>
      </c>
      <c r="B12" s="259"/>
      <c r="C12" s="250">
        <f>SUBTOTAL(109,CashReceipts24[Period 0])</f>
        <v>0</v>
      </c>
      <c r="D12" s="250">
        <f>SUBTOTAL(109,CashReceipts24[Period 1])</f>
        <v>0</v>
      </c>
      <c r="E12" s="250">
        <f>SUBTOTAL(109,CashReceipts24[Period 2])</f>
        <v>0</v>
      </c>
      <c r="F12" s="250">
        <f>SUBTOTAL(109,CashReceipts24[Period 3])</f>
        <v>0</v>
      </c>
      <c r="G12" s="250">
        <f>SUBTOTAL(109,CashReceipts24[Period 4])</f>
        <v>0</v>
      </c>
      <c r="H12" s="250">
        <f>SUBTOTAL(109,CashReceipts24[Period 5])</f>
        <v>0</v>
      </c>
      <c r="I12" s="250">
        <f>SUBTOTAL(109,CashReceipts24[Period 6])</f>
        <v>0</v>
      </c>
      <c r="J12" s="250">
        <f>SUBTOTAL(109,CashReceipts24[Period 7])</f>
        <v>0</v>
      </c>
      <c r="K12" s="250">
        <f>SUBTOTAL(109,CashReceipts24[Period 8])</f>
        <v>0</v>
      </c>
      <c r="L12" s="250">
        <f>SUBTOTAL(109,CashReceipts24[Period 9])</f>
        <v>0</v>
      </c>
      <c r="M12" s="250">
        <f>SUBTOTAL(109,CashReceipts24[Period 10])</f>
        <v>0</v>
      </c>
      <c r="N12" s="250">
        <f>SUBTOTAL(109,CashReceipts24[Period 11])</f>
        <v>0</v>
      </c>
      <c r="O12" s="250">
        <f>SUBTOTAL(109,CashReceipts24[Period 12])</f>
        <v>0</v>
      </c>
      <c r="P12" s="257"/>
      <c r="Q12" s="250">
        <f>SUBTOTAL(109,CashReceipts24[Total])</f>
        <v>0</v>
      </c>
      <c r="R12" s="230"/>
    </row>
    <row r="13" spans="1:18" ht="17" thickTop="1" thickBot="1" x14ac:dyDescent="0.25">
      <c r="A13" s="260" t="s">
        <v>199</v>
      </c>
      <c r="B13" s="261"/>
      <c r="C13" s="262">
        <f>C6+SUM(CashReceipts24[Period 0])</f>
        <v>0</v>
      </c>
      <c r="D13" s="262">
        <f>D6+SUM(CashReceipts24[Period 1])</f>
        <v>0</v>
      </c>
      <c r="E13" s="262">
        <f>E6+SUM(CashReceipts24[Period 2])</f>
        <v>0</v>
      </c>
      <c r="F13" s="262">
        <f>F6+SUM(CashReceipts24[Period 3])</f>
        <v>0</v>
      </c>
      <c r="G13" s="262">
        <f>G6+SUM(CashReceipts24[Period 4])</f>
        <v>0</v>
      </c>
      <c r="H13" s="262">
        <f>H6+SUM(CashReceipts24[Period 5])</f>
        <v>0</v>
      </c>
      <c r="I13" s="262">
        <f>I6+SUM(CashReceipts24[Period 6])</f>
        <v>0</v>
      </c>
      <c r="J13" s="262">
        <f>J6+SUM(CashReceipts24[Period 7])</f>
        <v>0</v>
      </c>
      <c r="K13" s="262">
        <f>K6+SUM(CashReceipts24[Period 8])</f>
        <v>0</v>
      </c>
      <c r="L13" s="262">
        <f>L6+SUM(CashReceipts24[Period 9])</f>
        <v>0</v>
      </c>
      <c r="M13" s="262">
        <f>M6+SUM(CashReceipts24[Period 10])</f>
        <v>0</v>
      </c>
      <c r="N13" s="262">
        <f>N6+SUM(CashReceipts24[Period 11])</f>
        <v>0</v>
      </c>
      <c r="O13" s="262">
        <f>O6+SUM(CashReceipts24[Period 12])</f>
        <v>0</v>
      </c>
      <c r="P13" s="263"/>
      <c r="Q13" s="262">
        <f>Q6+SUM(CashReceipts24[Total])</f>
        <v>0</v>
      </c>
      <c r="R13" s="264"/>
    </row>
    <row r="14" spans="1:18" x14ac:dyDescent="0.2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</row>
    <row r="15" spans="1:18" ht="16" thickBot="1" x14ac:dyDescent="0.25">
      <c r="A15" s="265" t="s">
        <v>208</v>
      </c>
      <c r="B15" s="251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1"/>
      <c r="Q15" s="254"/>
      <c r="R15" s="254"/>
    </row>
    <row r="16" spans="1:18" ht="16" thickTop="1" x14ac:dyDescent="0.2">
      <c r="A16" s="266" t="s">
        <v>142</v>
      </c>
      <c r="B16" s="251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67"/>
      <c r="Q16" s="250">
        <f>SUM(CashPaidOut35[[#This Row],[Period 0]:[Period 12]])</f>
        <v>0</v>
      </c>
      <c r="R16" s="250"/>
    </row>
    <row r="17" spans="1:18" x14ac:dyDescent="0.2">
      <c r="A17" s="266" t="s">
        <v>196</v>
      </c>
      <c r="B17" s="251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67"/>
      <c r="Q17" s="250">
        <f>SUM(CashPaidOut35[[#This Row],[Period 0]:[Period 12]])</f>
        <v>0</v>
      </c>
      <c r="R17" s="250"/>
    </row>
    <row r="18" spans="1:18" x14ac:dyDescent="0.2">
      <c r="A18" s="266" t="s">
        <v>185</v>
      </c>
      <c r="B18" s="251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67"/>
      <c r="Q18" s="250">
        <f>SUM(CashPaidOut35[[#This Row],[Period 0]:[Period 12]])</f>
        <v>0</v>
      </c>
      <c r="R18" s="250"/>
    </row>
    <row r="19" spans="1:18" x14ac:dyDescent="0.2">
      <c r="A19" s="266" t="s">
        <v>167</v>
      </c>
      <c r="B19" s="251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67"/>
      <c r="Q19" s="250">
        <f>SUM(CashPaidOut35[[#This Row],[Period 0]:[Period 12]])</f>
        <v>0</v>
      </c>
      <c r="R19" s="250"/>
    </row>
    <row r="20" spans="1:18" x14ac:dyDescent="0.2">
      <c r="A20" s="266" t="s">
        <v>168</v>
      </c>
      <c r="B20" s="251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67"/>
      <c r="Q20" s="250">
        <f>SUM(CashPaidOut35[[#This Row],[Period 0]:[Period 12]])</f>
        <v>0</v>
      </c>
      <c r="R20" s="250"/>
    </row>
    <row r="21" spans="1:18" x14ac:dyDescent="0.2">
      <c r="A21" s="266" t="s">
        <v>195</v>
      </c>
      <c r="B21" s="251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67"/>
      <c r="Q21" s="250">
        <f>SUM(CashPaidOut35[[#This Row],[Period 0]:[Period 12]])</f>
        <v>0</v>
      </c>
      <c r="R21" s="250"/>
    </row>
    <row r="22" spans="1:18" x14ac:dyDescent="0.2">
      <c r="A22" s="266" t="s">
        <v>175</v>
      </c>
      <c r="B22" s="251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67"/>
      <c r="Q22" s="250">
        <f>SUM(CashPaidOut35[[#This Row],[Period 0]:[Period 12]])</f>
        <v>0</v>
      </c>
      <c r="R22" s="250"/>
    </row>
    <row r="23" spans="1:18" x14ac:dyDescent="0.2">
      <c r="A23" s="266" t="s">
        <v>169</v>
      </c>
      <c r="B23" s="251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67"/>
      <c r="Q23" s="250">
        <f>SUM(CashPaidOut35[[#This Row],[Period 0]:[Period 12]])</f>
        <v>0</v>
      </c>
      <c r="R23" s="250"/>
    </row>
    <row r="24" spans="1:18" x14ac:dyDescent="0.2">
      <c r="A24" s="266" t="s">
        <v>170</v>
      </c>
      <c r="B24" s="251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67"/>
      <c r="Q24" s="250">
        <f>SUM(CashPaidOut35[[#This Row],[Period 0]:[Period 12]])</f>
        <v>0</v>
      </c>
      <c r="R24" s="250"/>
    </row>
    <row r="25" spans="1:18" x14ac:dyDescent="0.2">
      <c r="A25" s="266" t="s">
        <v>187</v>
      </c>
      <c r="B25" s="251"/>
      <c r="C25" s="256"/>
      <c r="D25" s="256"/>
      <c r="E25" s="256"/>
      <c r="F25" s="273"/>
      <c r="G25" s="256"/>
      <c r="H25" s="256"/>
      <c r="I25" s="256"/>
      <c r="J25" s="256"/>
      <c r="K25" s="256"/>
      <c r="L25" s="256"/>
      <c r="M25" s="256"/>
      <c r="N25" s="256"/>
      <c r="O25" s="256"/>
      <c r="P25" s="274"/>
      <c r="Q25" s="250">
        <f>SUM(CashPaidOut35[[#This Row],[Period 0]:[Period 12]])</f>
        <v>0</v>
      </c>
      <c r="R25" s="250"/>
    </row>
    <row r="26" spans="1:18" x14ac:dyDescent="0.2">
      <c r="A26" s="266" t="s">
        <v>171</v>
      </c>
      <c r="B26" s="251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67"/>
      <c r="Q26" s="250">
        <f>SUM(CashPaidOut35[[#This Row],[Period 0]:[Period 12]])</f>
        <v>0</v>
      </c>
      <c r="R26" s="250"/>
    </row>
    <row r="27" spans="1:18" x14ac:dyDescent="0.2">
      <c r="A27" s="266" t="s">
        <v>172</v>
      </c>
      <c r="B27" s="251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67"/>
      <c r="Q27" s="250">
        <f>SUM(CashPaidOut35[[#This Row],[Period 0]:[Period 12]])</f>
        <v>0</v>
      </c>
      <c r="R27" s="250"/>
    </row>
    <row r="28" spans="1:18" x14ac:dyDescent="0.2">
      <c r="A28" s="266" t="s">
        <v>173</v>
      </c>
      <c r="B28" s="251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67"/>
      <c r="Q28" s="250">
        <f>SUM(CashPaidOut35[[#This Row],[Period 0]:[Period 12]])</f>
        <v>0</v>
      </c>
      <c r="R28" s="250"/>
    </row>
    <row r="29" spans="1:18" x14ac:dyDescent="0.2">
      <c r="A29" s="266" t="s">
        <v>176</v>
      </c>
      <c r="B29" s="251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67"/>
      <c r="Q29" s="250">
        <f>SUM(CashPaidOut35[[#This Row],[Period 0]:[Period 12]])</f>
        <v>0</v>
      </c>
      <c r="R29" s="250"/>
    </row>
    <row r="30" spans="1:18" x14ac:dyDescent="0.2">
      <c r="A30" s="266" t="s">
        <v>184</v>
      </c>
      <c r="B30" s="251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67"/>
      <c r="Q30" s="250">
        <f>SUM(CashPaidOut35[[#This Row],[Period 0]:[Period 12]])</f>
        <v>0</v>
      </c>
      <c r="R30" s="250"/>
    </row>
    <row r="31" spans="1:18" x14ac:dyDescent="0.2">
      <c r="A31" s="266" t="s">
        <v>138</v>
      </c>
      <c r="B31" s="251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67"/>
      <c r="Q31" s="250">
        <f>SUM(CashPaidOut35[[#This Row],[Period 0]:[Period 12]])</f>
        <v>0</v>
      </c>
      <c r="R31" s="250"/>
    </row>
    <row r="32" spans="1:18" x14ac:dyDescent="0.2">
      <c r="A32" s="266" t="s">
        <v>177</v>
      </c>
      <c r="B32" s="251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68"/>
      <c r="Q32" s="250">
        <f>SUM(CashPaidOut35[[#This Row],[Period 0]:[Period 12]])</f>
        <v>0</v>
      </c>
      <c r="R32" s="250"/>
    </row>
    <row r="33" spans="1:18" x14ac:dyDescent="0.2">
      <c r="A33" s="266" t="s">
        <v>183</v>
      </c>
      <c r="B33" s="251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68"/>
      <c r="Q33" s="250">
        <f>SUM(CashPaidOut35[[#This Row],[Period 0]:[Period 12]])</f>
        <v>0</v>
      </c>
      <c r="R33" s="250"/>
    </row>
    <row r="34" spans="1:18" x14ac:dyDescent="0.2">
      <c r="A34" s="266" t="s">
        <v>182</v>
      </c>
      <c r="B34" s="251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67"/>
      <c r="Q34" s="250">
        <f>SUM(CashPaidOut35[[#This Row],[Period 0]:[Period 12]])</f>
        <v>0</v>
      </c>
      <c r="R34" s="250"/>
    </row>
    <row r="35" spans="1:18" ht="30" x14ac:dyDescent="0.2">
      <c r="A35" s="272" t="s">
        <v>192</v>
      </c>
      <c r="B35" s="251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68"/>
      <c r="Q35" s="250">
        <f>SUM(CashPaidOut35[[#This Row],[Period 0]:[Period 12]])</f>
        <v>0</v>
      </c>
      <c r="R35" s="250"/>
    </row>
    <row r="36" spans="1:18" x14ac:dyDescent="0.2">
      <c r="A36" s="266" t="s">
        <v>178</v>
      </c>
      <c r="B36" s="251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68"/>
      <c r="Q36" s="250">
        <f>SUM(CashPaidOut35[[#This Row],[Period 0]:[Period 12]])</f>
        <v>0</v>
      </c>
      <c r="R36" s="250"/>
    </row>
    <row r="37" spans="1:18" x14ac:dyDescent="0.2">
      <c r="A37" s="266" t="s">
        <v>179</v>
      </c>
      <c r="B37" s="251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68"/>
      <c r="Q37" s="250">
        <f>SUM(CashPaidOut35[[#This Row],[Period 0]:[Period 12]])</f>
        <v>0</v>
      </c>
      <c r="R37" s="250"/>
    </row>
    <row r="38" spans="1:18" x14ac:dyDescent="0.2">
      <c r="A38" s="266" t="s">
        <v>180</v>
      </c>
      <c r="B38" s="251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68"/>
      <c r="Q38" s="250">
        <f>SUM(CashPaidOut35[[#This Row],[Period 0]:[Period 12]])</f>
        <v>0</v>
      </c>
      <c r="R38" s="250"/>
    </row>
    <row r="39" spans="1:18" x14ac:dyDescent="0.2">
      <c r="A39" s="266" t="s">
        <v>189</v>
      </c>
      <c r="B39" s="251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67"/>
      <c r="Q39" s="250">
        <f>SUM(CashPaidOut35[[#This Row],[Period 0]:[Period 12]])</f>
        <v>0</v>
      </c>
      <c r="R39" s="250"/>
    </row>
    <row r="40" spans="1:18" x14ac:dyDescent="0.2">
      <c r="A40" s="266" t="s">
        <v>181</v>
      </c>
      <c r="B40" s="251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68"/>
      <c r="Q40" s="250">
        <f>SUM(CashPaidOut35[[#This Row],[Period 0]:[Period 12]])</f>
        <v>0</v>
      </c>
      <c r="R40" s="250"/>
    </row>
    <row r="41" spans="1:18" x14ac:dyDescent="0.2">
      <c r="A41" s="269" t="s">
        <v>193</v>
      </c>
      <c r="B41" s="251"/>
      <c r="C41" s="250">
        <f>SUBTOTAL(109,CashPaidOut35[Period 0])</f>
        <v>0</v>
      </c>
      <c r="D41" s="250">
        <f>SUBTOTAL(109,CashPaidOut35[Period 1])</f>
        <v>0</v>
      </c>
      <c r="E41" s="250">
        <f>SUBTOTAL(109,CashPaidOut35[Period 2])</f>
        <v>0</v>
      </c>
      <c r="F41" s="250">
        <f>SUBTOTAL(109,CashPaidOut35[Period 3])</f>
        <v>0</v>
      </c>
      <c r="G41" s="250">
        <f>SUBTOTAL(109,CashPaidOut35[Period 4])</f>
        <v>0</v>
      </c>
      <c r="H41" s="250">
        <f>SUBTOTAL(109,CashPaidOut35[Period 5])</f>
        <v>0</v>
      </c>
      <c r="I41" s="250">
        <f>SUBTOTAL(109,CashPaidOut35[Period 6])</f>
        <v>0</v>
      </c>
      <c r="J41" s="250">
        <f>SUBTOTAL(109,CashPaidOut35[Period 7])</f>
        <v>0</v>
      </c>
      <c r="K41" s="250">
        <f>SUBTOTAL(109,CashPaidOut35[Period 8])</f>
        <v>0</v>
      </c>
      <c r="L41" s="250">
        <f>SUBTOTAL(109,CashPaidOut35[Period 9])</f>
        <v>0</v>
      </c>
      <c r="M41" s="250">
        <f>SUBTOTAL(109,CashPaidOut35[Period 10])</f>
        <v>0</v>
      </c>
      <c r="N41" s="250">
        <f>SUBTOTAL(109,CashPaidOut35[Period 11])</f>
        <v>0</v>
      </c>
      <c r="O41" s="250">
        <f>SUBTOTAL(109,CashPaidOut35[Period 12])</f>
        <v>0</v>
      </c>
      <c r="P41" s="268"/>
      <c r="Q41" s="250">
        <f>SUBTOTAL(109,CashPaidOut35[Total])</f>
        <v>0</v>
      </c>
      <c r="R41" s="230"/>
    </row>
    <row r="42" spans="1:18" x14ac:dyDescent="0.2">
      <c r="A42" s="285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</row>
    <row r="43" spans="1:18" x14ac:dyDescent="0.2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</row>
    <row r="44" spans="1:18" ht="16" thickBot="1" x14ac:dyDescent="0.25">
      <c r="A44" s="275" t="s">
        <v>198</v>
      </c>
      <c r="B44" s="261"/>
      <c r="C44" s="270">
        <f t="shared" ref="C44:O44" si="1">C13-C41</f>
        <v>0</v>
      </c>
      <c r="D44" s="270">
        <f t="shared" si="1"/>
        <v>0</v>
      </c>
      <c r="E44" s="270">
        <f t="shared" si="1"/>
        <v>0</v>
      </c>
      <c r="F44" s="270">
        <f t="shared" si="1"/>
        <v>0</v>
      </c>
      <c r="G44" s="270">
        <f t="shared" si="1"/>
        <v>0</v>
      </c>
      <c r="H44" s="270">
        <f t="shared" si="1"/>
        <v>0</v>
      </c>
      <c r="I44" s="270">
        <f t="shared" si="1"/>
        <v>0</v>
      </c>
      <c r="J44" s="270">
        <f t="shared" si="1"/>
        <v>0</v>
      </c>
      <c r="K44" s="270">
        <f t="shared" si="1"/>
        <v>0</v>
      </c>
      <c r="L44" s="270">
        <f t="shared" si="1"/>
        <v>0</v>
      </c>
      <c r="M44" s="270">
        <f t="shared" si="1"/>
        <v>0</v>
      </c>
      <c r="N44" s="270">
        <f t="shared" si="1"/>
        <v>0</v>
      </c>
      <c r="O44" s="270">
        <f t="shared" si="1"/>
        <v>0</v>
      </c>
      <c r="P44" s="261"/>
      <c r="Q44" s="270">
        <f>Q13-Q41</f>
        <v>0</v>
      </c>
      <c r="R44" s="271"/>
    </row>
    <row r="45" spans="1:18" x14ac:dyDescent="0.2">
      <c r="A45" s="230"/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</row>
  </sheetData>
  <mergeCells count="3">
    <mergeCell ref="A14:R14"/>
    <mergeCell ref="A42:R42"/>
    <mergeCell ref="A43:R43"/>
  </mergeCells>
  <conditionalFormatting sqref="D13:O13">
    <cfRule type="expression" dxfId="84" priority="1">
      <formula>D13&lt;0</formula>
    </cfRule>
  </conditionalFormatting>
  <conditionalFormatting sqref="D6:O6">
    <cfRule type="expression" dxfId="83" priority="3">
      <formula>D6&lt;0</formula>
    </cfRule>
  </conditionalFormatting>
  <conditionalFormatting sqref="D44:O44">
    <cfRule type="expression" dxfId="82" priority="2">
      <formula>D44&lt;0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r:id="rId1"/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74C0C2B9-3754-4716-907F-99508719B0E8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D6:Q6</xm:sqref>
        </x14:conditionalFormatting>
        <x14:conditionalFormatting xmlns:xm="http://schemas.microsoft.com/office/excel/2006/main">
          <x14:cfRule type="iconSet" priority="5" id="{98664692-B864-4E45-9840-011BDC1FD9FF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C13:Q13</xm:sqref>
        </x14:conditionalFormatting>
        <x14:conditionalFormatting xmlns:xm="http://schemas.microsoft.com/office/excel/2006/main">
          <x14:cfRule type="iconSet" priority="6" id="{3ACEE9F9-DB78-45EA-BEE1-0B407ADC5F8C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Q44 C44:O44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C5CEAB9E-591A-4E00-862F-2A9901543070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'3yearcashflow'!C44:O44</xm:f>
              <xm:sqref>R44</xm:sqref>
            </x14:sparkline>
            <x14:sparkline>
              <xm:f>'3yearcashflow'!C13:O13</xm:f>
              <xm:sqref>R13</xm:sqref>
            </x14:sparkline>
            <x14:sparkline>
              <xm:f>'3yearcashflow'!C41:O41</xm:f>
              <xm:sqref>R41</xm:sqref>
            </x14:sparkline>
            <x14:sparkline>
              <xm:f>'3yearcashflow'!C6:O6</xm:f>
              <xm:sqref>R6</xm:sqref>
            </x14:sparkline>
            <x14:sparkline>
              <xm:f>'3yearcashflow'!C12:O12</xm:f>
              <xm:sqref>R12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3</vt:i4>
      </vt:variant>
    </vt:vector>
  </HeadingPairs>
  <TitlesOfParts>
    <vt:vector size="9" baseType="lpstr">
      <vt:lpstr>Funding</vt:lpstr>
      <vt:lpstr>Profitability</vt:lpstr>
      <vt:lpstr>Monthly sales</vt:lpstr>
      <vt:lpstr>1yearcashflow</vt:lpstr>
      <vt:lpstr>2yearcashflow</vt:lpstr>
      <vt:lpstr>3yearcashflow</vt:lpstr>
      <vt:lpstr>'2yearcashflow'!FiscalYearStartDate</vt:lpstr>
      <vt:lpstr>'3yearcashflow'!FiscalYearStartDate</vt:lpstr>
      <vt:lpstr>FiscalYearStartDate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Päivi Lahtelin-Laine</dc:creator>
  <cp:lastModifiedBy>Evida oy</cp:lastModifiedBy>
  <cp:lastPrinted>2020-01-08T10:27:17Z</cp:lastPrinted>
  <dcterms:created xsi:type="dcterms:W3CDTF">2018-04-09T12:36:31Z</dcterms:created>
  <dcterms:modified xsi:type="dcterms:W3CDTF">2020-02-14T08:17:24Z</dcterms:modified>
</cp:coreProperties>
</file>